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8F5BBB9D-BFF8-41F0-B486-0F3FDFF748D9}" xr6:coauthVersionLast="47" xr6:coauthVersionMax="47" xr10:uidLastSave="{00000000-0000-0000-0000-000000000000}"/>
  <bookViews>
    <workbookView xWindow="-120" yWindow="-120" windowWidth="20730" windowHeight="11160" xr2:uid="{35DEB792-2DF6-436D-9DE4-70974768118D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C59" i="1"/>
  <c r="D59" i="1"/>
  <c r="E59" i="1"/>
  <c r="F59" i="1"/>
  <c r="H59" i="1"/>
  <c r="H116" i="1" s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9" i="1"/>
  <c r="F85" i="1" s="1"/>
  <c r="F83" i="1"/>
  <c r="F101" i="1"/>
  <c r="F102" i="1"/>
  <c r="F104" i="1"/>
  <c r="F107" i="1"/>
  <c r="F108" i="1"/>
  <c r="F109" i="1"/>
  <c r="F110" i="1"/>
  <c r="F111" i="1"/>
  <c r="F112" i="1"/>
  <c r="G115" i="1"/>
  <c r="H115" i="1"/>
  <c r="G116" i="1"/>
  <c r="G117" i="1"/>
  <c r="H117" i="1"/>
  <c r="G118" i="1"/>
  <c r="G119" i="1"/>
  <c r="H119" i="1"/>
  <c r="G120" i="1"/>
  <c r="G121" i="1"/>
  <c r="H121" i="1"/>
  <c r="G122" i="1"/>
  <c r="F75" i="1" l="1"/>
  <c r="F87" i="1" s="1"/>
  <c r="H122" i="1"/>
  <c r="F106" i="1" s="1"/>
  <c r="H120" i="1"/>
  <c r="F105" i="1" s="1"/>
  <c r="H118" i="1"/>
  <c r="G19" i="1" l="1"/>
  <c r="G21" i="1"/>
  <c r="G23" i="1"/>
  <c r="G25" i="1"/>
  <c r="G27" i="1"/>
  <c r="G29" i="1"/>
  <c r="G31" i="1"/>
  <c r="G33" i="1"/>
  <c r="G62" i="1"/>
  <c r="G64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111" i="1"/>
  <c r="G104" i="1"/>
  <c r="G70" i="1"/>
  <c r="G108" i="1"/>
  <c r="G65" i="1"/>
  <c r="G49" i="1"/>
  <c r="G17" i="1"/>
  <c r="G83" i="1"/>
  <c r="G67" i="1"/>
  <c r="G51" i="1"/>
  <c r="G35" i="1"/>
  <c r="G79" i="1"/>
  <c r="G55" i="1"/>
  <c r="G72" i="1"/>
  <c r="G109" i="1"/>
  <c r="G66" i="1"/>
  <c r="G101" i="1"/>
  <c r="G61" i="1"/>
  <c r="G45" i="1"/>
  <c r="G13" i="1"/>
  <c r="G85" i="1"/>
  <c r="G63" i="1"/>
  <c r="G47" i="1"/>
  <c r="G15" i="1"/>
  <c r="G71" i="1"/>
  <c r="G68" i="1"/>
  <c r="G102" i="1"/>
  <c r="G107" i="1"/>
  <c r="G73" i="1"/>
  <c r="G57" i="1"/>
  <c r="G41" i="1"/>
  <c r="G9" i="1"/>
  <c r="G59" i="1"/>
  <c r="G43" i="1"/>
  <c r="G11" i="1"/>
  <c r="G110" i="1"/>
  <c r="G74" i="1"/>
  <c r="G112" i="1"/>
  <c r="G69" i="1"/>
  <c r="G53" i="1"/>
  <c r="G37" i="1"/>
  <c r="G39" i="1"/>
  <c r="G7" i="1"/>
  <c r="F103" i="1"/>
  <c r="G103" i="1" s="1"/>
  <c r="G106" i="1"/>
  <c r="G105" i="1"/>
  <c r="G75" i="1"/>
  <c r="F98" i="1" l="1"/>
</calcChain>
</file>

<file path=xl/sharedStrings.xml><?xml version="1.0" encoding="utf-8"?>
<sst xmlns="http://schemas.openxmlformats.org/spreadsheetml/2006/main" count="132" uniqueCount="113">
  <si>
    <t xml:space="preserve">Total </t>
  </si>
  <si>
    <t>CARE AAA</t>
  </si>
  <si>
    <t>AAA / Equivalent</t>
  </si>
  <si>
    <t>CARE AA</t>
  </si>
  <si>
    <t>AA / Equivalent</t>
  </si>
  <si>
    <t>IND AAA</t>
  </si>
  <si>
    <t>CRISIL AA</t>
  </si>
  <si>
    <t>[ICRA]AA+</t>
  </si>
  <si>
    <t>AA+ / Equivalent</t>
  </si>
  <si>
    <t>CRISIL AAA</t>
  </si>
  <si>
    <t>CARE AAA (CE)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</si>
  <si>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</si>
  <si>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</si>
  <si>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</si>
  <si>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</si>
  <si>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</si>
  <si>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</si>
  <si>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</si>
  <si>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</si>
  <si>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</si>
  <si>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</si>
  <si>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</si>
  <si>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</si>
  <si>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</si>
  <si>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</si>
  <si>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</si>
  <si>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</si>
  <si>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</si>
  <si>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</si>
  <si>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</si>
  <si>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</si>
  <si>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</si>
  <si>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</si>
  <si>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</si>
  <si>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</si>
  <si>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</si>
  <si>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</si>
  <si>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</si>
  <si>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</si>
  <si>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</si>
  <si>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</si>
  <si>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</si>
  <si>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</si>
  <si>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</si>
  <si>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</si>
  <si>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</si>
  <si>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</si>
  <si>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</si>
  <si>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</si>
  <si>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</si>
  <si>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</si>
  <si>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IN2020180021</t>
  </si>
  <si>
    <t>IN3120180010</t>
  </si>
  <si>
    <t>IN1520170243</t>
  </si>
  <si>
    <t>IN0020150069</t>
  </si>
  <si>
    <t>IN0020060086</t>
  </si>
  <si>
    <t>IN0020140060</t>
  </si>
  <si>
    <t>IN1920180156</t>
  </si>
  <si>
    <t>IN1520170169</t>
  </si>
  <si>
    <t>IN1020180411</t>
  </si>
  <si>
    <t>IN0020030014</t>
  </si>
  <si>
    <t>IN0020070069</t>
  </si>
  <si>
    <t>IN1920190098</t>
  </si>
  <si>
    <t>IN4520180204</t>
  </si>
  <si>
    <t>IN0020160019</t>
  </si>
  <si>
    <t>IN2220200017</t>
  </si>
  <si>
    <t>IN1520130072</t>
  </si>
  <si>
    <t>IN0020070036</t>
  </si>
  <si>
    <t>IN2220200264</t>
  </si>
  <si>
    <t>IN0020150051</t>
  </si>
  <si>
    <t>IN2220150196</t>
  </si>
  <si>
    <t>IN0020160118</t>
  </si>
  <si>
    <t>IN0020160100</t>
  </si>
  <si>
    <t>IN2220170103</t>
  </si>
  <si>
    <t>IN0020020106</t>
  </si>
  <si>
    <t>IN0020060078</t>
  </si>
  <si>
    <t>IN0020190040</t>
  </si>
  <si>
    <t>IN0020190024</t>
  </si>
  <si>
    <t>IN0020140078</t>
  </si>
  <si>
    <t>IN0020170174</t>
  </si>
  <si>
    <t>INE261F08AJ5</t>
  </si>
  <si>
    <t>IN0020200153</t>
  </si>
  <si>
    <t>IN0020150077</t>
  </si>
  <si>
    <t>IN0020110063</t>
  </si>
  <si>
    <t>IN0020200245</t>
  </si>
  <si>
    <t>IN0020070044</t>
  </si>
  <si>
    <t>IN0020160092</t>
  </si>
  <si>
    <t>IN0020040039</t>
  </si>
  <si>
    <t>IN0020140011</t>
  </si>
  <si>
    <t>IN0020150010</t>
  </si>
  <si>
    <t>IN0020050012</t>
  </si>
  <si>
    <t>IN0020020247</t>
  </si>
  <si>
    <t>IN0020210020</t>
  </si>
  <si>
    <t>IN0020160068</t>
  </si>
  <si>
    <t>IN0020210152</t>
  </si>
  <si>
    <t>IN3120180184</t>
  </si>
  <si>
    <t>IN3120150203</t>
  </si>
  <si>
    <t>IN0020060045</t>
  </si>
  <si>
    <t>IN1920170157</t>
  </si>
  <si>
    <t>IN2020170147</t>
  </si>
  <si>
    <t>IN0020150028</t>
  </si>
  <si>
    <t>IN1920190056</t>
  </si>
  <si>
    <t>IN2020180039</t>
  </si>
  <si>
    <t>IN1520180200</t>
  </si>
  <si>
    <t>Quantity</t>
  </si>
  <si>
    <t xml:space="preserve">Industry </t>
  </si>
  <si>
    <t>Name of the Instrument</t>
  </si>
  <si>
    <t>ISIN No.</t>
  </si>
  <si>
    <t>MONTH</t>
  </si>
  <si>
    <t>Scheme G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</si>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</sst>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0" fillId="0" borderId="1" xfId="0" applyBorder="1"/>
    <xf numFmtId="10" fontId="0" fillId="0" borderId="2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43" fontId="6" fillId="0" borderId="1" xfId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3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0" fontId="0" fillId="0" borderId="4" xfId="0" quotePrefix="1" applyBorder="1"/>
    <xf numFmtId="164" fontId="0" fillId="0" borderId="5" xfId="2" applyNumberFormat="1" applyFont="1" applyFill="1" applyBorder="1"/>
    <xf numFmtId="164" fontId="0" fillId="0" borderId="1" xfId="1" applyNumberFormat="1" applyFont="1" applyBorder="1"/>
    <xf numFmtId="43" fontId="0" fillId="0" borderId="3" xfId="1" quotePrefix="1" applyFont="1" applyFill="1" applyBorder="1"/>
    <xf numFmtId="10" fontId="0" fillId="0" borderId="1" xfId="2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2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C-TIER I "/>
      <sheetName val="C-TIER II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C54BA3-047D-4C5F-A4AE-3326E7DB62F4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A44E1562-0935-41C6-9615-E7A5CE18332C}" name="ISIN No." dataDxfId="6"/>
    <tableColumn id="2" xr3:uid="{218C52E4-6D97-4A43-B363-9C8BE3835C8C}" name="Name of the Instrument" dataDxfId="5">
      <calculatedColumnFormula>VLOOKUP(Table1345676[[#This Row],[ISIN No.]],'[1]Crisil data '!E:F,2,0)</calculatedColumnFormula>
    </tableColumn>
    <tableColumn id="3" xr3:uid="{DAAD5818-DD39-4BDC-8841-6E23602042A5}" name="Industry " dataDxfId="4">
      <calculatedColumnFormula>VLOOKUP(Table1345676[[#This Row],[ISIN No.]],'[1]Crisil data '!E:I,5,0)</calculatedColumnFormula>
    </tableColumn>
    <tableColumn id="4" xr3:uid="{5BCE14CE-5E52-48C2-977C-1C328A2E5DE3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E1CF8307-A04C-4565-B049-99E9B1E6DBA5}" name="Market Value" dataDxfId="2">
      <calculatedColumnFormula>SUMIFS('[1]Crisil data '!M:M,'[1]Crisil data '!AI:AI,$D$3,'[1]Crisil data '!E:E,Table1345676[[#This Row],[ISIN No.]])</calculatedColumnFormula>
    </tableColumn>
    <tableColumn id="6" xr3:uid="{D351D6C6-1747-4E3E-8FB7-6967CA58B86B}" name="% of Portfolio" dataDxfId="1" dataCellStyle="Percent">
      <calculatedColumnFormula>+F7/$F$87</calculatedColumnFormula>
    </tableColumn>
    <tableColumn id="7" xr3:uid="{3AB32C86-9BC8-4249-8414-D8405458DF7C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28E9-C676-41C4-80CB-F30A9772E1BD}">
  <dimension ref="A2:O123"/>
  <sheetViews>
    <sheetView showGridLines="0" tabSelected="1" view="pageBreakPreview" topLeftCell="A87" zoomScale="89" zoomScaleNormal="100" zoomScaleSheetLayoutView="89" workbookViewId="0">
      <selection activeCell="F89" sqref="F89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4" t="s">
        <v>112</v>
      </c>
      <c r="D2" s="45" t="s">
        <v>111</v>
      </c>
    </row>
    <row r="3" spans="1:8" x14ac:dyDescent="0.25">
      <c r="B3" s="44" t="s">
        <v>110</v>
      </c>
      <c r="D3" t="s">
        <v>109</v>
      </c>
    </row>
    <row r="4" spans="1:8" x14ac:dyDescent="0.25">
      <c r="B4" s="44" t="s">
        <v>108</v>
      </c>
      <c r="D4" s="43" t="e">
        <f>+#REF!</f>
        <v>#REF!</v>
      </c>
    </row>
    <row r="6" spans="1:8" x14ac:dyDescent="0.25">
      <c r="B6" s="42" t="s">
        <v>107</v>
      </c>
      <c r="C6" s="40" t="s">
        <v>106</v>
      </c>
      <c r="D6" s="40" t="s">
        <v>105</v>
      </c>
      <c r="E6" s="41" t="s">
        <v>104</v>
      </c>
      <c r="F6" s="40" t="s">
        <v>25</v>
      </c>
      <c r="G6" s="40" t="s">
        <v>24</v>
      </c>
      <c r="H6" s="39" t="s">
        <v>23</v>
      </c>
    </row>
    <row r="7" spans="1:8" x14ac:dyDescent="0.25">
      <c r="A7" s="8"/>
      <c r="B7" s="2" t="s">
        <v>103</v>
      </c>
      <c r="C7" s="2" t="str">
        <f>VLOOKUP(Table1345676[[#This Row],[ISIN No.]],'[1]Crisil data '!E:F,2,0)</f>
        <v>8.50% GUJARAT SDL 28.11.2028</v>
      </c>
      <c r="D7" s="2" t="str">
        <f>VLOOKUP(Table1345676[[#This Row],[ISIN No.]],'[1]Crisil data '!E:I,5,0)</f>
        <v>SDL</v>
      </c>
      <c r="E7" s="36">
        <f>SUMIFS('[1]Crisil data '!L:L,'[1]Crisil data '!AI:AI,$D$3,'[1]Crisil data '!E:E,Table1345676[[#This Row],[ISIN No.]])</f>
        <v>80000</v>
      </c>
      <c r="F7" s="2">
        <f>SUMIFS('[1]Crisil data '!M:M,'[1]Crisil data '!AI:AI,$D$3,'[1]Crisil data '!E:E,Table1345676[[#This Row],[ISIN No.]])</f>
        <v>8770800</v>
      </c>
      <c r="G7" s="38">
        <f>+F7/$F$87</f>
        <v>6.0721638388706476E-3</v>
      </c>
      <c r="H7" s="37">
        <f>IFERROR(VLOOKUP(Table1345676[[#This Row],[ISIN No.]],'[1]Crisil data '!E:AJ,32,0),0)</f>
        <v>0</v>
      </c>
    </row>
    <row r="8" spans="1:8" x14ac:dyDescent="0.25">
      <c r="A8" s="8"/>
      <c r="B8" s="2" t="s">
        <v>102</v>
      </c>
      <c r="C8" s="2" t="str">
        <f>VLOOKUP(Table1345676[[#This Row],[ISIN No.]],'[1]Crisil data '!E:F,2,0)</f>
        <v>8.33 % KERALA SDL 30.05.2028</v>
      </c>
      <c r="D8" s="2" t="str">
        <f>VLOOKUP(Table1345676[[#This Row],[ISIN No.]],'[1]Crisil data '!E:I,5,0)</f>
        <v>SDL</v>
      </c>
      <c r="E8" s="36">
        <f>SUMIFS('[1]Crisil data '!L:L,'[1]Crisil data '!AI:AI,$D$3,'[1]Crisil data '!E:E,Table1345676[[#This Row],[ISIN No.]])</f>
        <v>55000</v>
      </c>
      <c r="F8" s="2">
        <f>SUMIFS('[1]Crisil data '!M:M,'[1]Crisil data '!AI:AI,$D$3,'[1]Crisil data '!E:E,Table1345676[[#This Row],[ISIN No.]])</f>
        <v>5951456.5</v>
      </c>
      <c r="G8" s="38">
        <f>+F8/$F$87</f>
        <v>4.120287653111651E-3</v>
      </c>
      <c r="H8" s="37">
        <f>IFERROR(VLOOKUP(Table1345676[[#This Row],[ISIN No.]],'[1]Crisil data '!E:AJ,32,0),0)</f>
        <v>0</v>
      </c>
    </row>
    <row r="9" spans="1:8" x14ac:dyDescent="0.25">
      <c r="A9" s="8"/>
      <c r="B9" s="2" t="s">
        <v>101</v>
      </c>
      <c r="C9" s="2" t="str">
        <f>VLOOKUP(Table1345676[[#This Row],[ISIN No.]],'[1]Crisil data '!E:F,2,0)</f>
        <v>07.15% KARNATAKA SDL 09-Oct-2028</v>
      </c>
      <c r="D9" s="2" t="str">
        <f>VLOOKUP(Table1345676[[#This Row],[ISIN No.]],'[1]Crisil data '!E:I,5,0)</f>
        <v>SDL</v>
      </c>
      <c r="E9" s="36">
        <f>SUMIFS('[1]Crisil data '!L:L,'[1]Crisil data '!AI:AI,$D$3,'[1]Crisil data '!E:E,Table1345676[[#This Row],[ISIN No.]])</f>
        <v>30000</v>
      </c>
      <c r="F9" s="2">
        <f>SUMIFS('[1]Crisil data '!M:M,'[1]Crisil data '!AI:AI,$D$3,'[1]Crisil data '!E:E,Table1345676[[#This Row],[ISIN No.]])</f>
        <v>3075324</v>
      </c>
      <c r="G9" s="38">
        <f>+F9/$F$87</f>
        <v>2.1290955426655532E-3</v>
      </c>
      <c r="H9" s="37">
        <f>IFERROR(VLOOKUP(Table1345676[[#This Row],[ISIN No.]],'[1]Crisil data '!E:AJ,32,0),0)</f>
        <v>0</v>
      </c>
    </row>
    <row r="10" spans="1:8" x14ac:dyDescent="0.25">
      <c r="A10" s="8"/>
      <c r="B10" s="2" t="s">
        <v>100</v>
      </c>
      <c r="C10" s="2" t="str">
        <f>VLOOKUP(Table1345676[[#This Row],[ISIN No.]],'[1]Crisil data '!E:F,2,0)</f>
        <v>7.88% GOI 19.03.2030</v>
      </c>
      <c r="D10" s="2" t="str">
        <f>VLOOKUP(Table1345676[[#This Row],[ISIN No.]],'[1]Crisil data '!E:I,5,0)</f>
        <v>GOI</v>
      </c>
      <c r="E10" s="36">
        <f>SUMIFS('[1]Crisil data '!L:L,'[1]Crisil data '!AI:AI,$D$3,'[1]Crisil data '!E:E,Table1345676[[#This Row],[ISIN No.]])</f>
        <v>662200</v>
      </c>
      <c r="F10" s="2">
        <f>SUMIFS('[1]Crisil data '!M:M,'[1]Crisil data '!AI:AI,$D$3,'[1]Crisil data '!E:E,Table1345676[[#This Row],[ISIN No.]])</f>
        <v>71976041.060000002</v>
      </c>
      <c r="G10" s="38">
        <f>+F10/$F$87</f>
        <v>4.9830153895836296E-2</v>
      </c>
      <c r="H10" s="37">
        <f>IFERROR(VLOOKUP(Table1345676[[#This Row],[ISIN No.]],'[1]Crisil data '!E:AJ,32,0),0)</f>
        <v>0</v>
      </c>
    </row>
    <row r="11" spans="1:8" x14ac:dyDescent="0.25">
      <c r="A11" s="8"/>
      <c r="B11" s="2" t="s">
        <v>99</v>
      </c>
      <c r="C11" s="2" t="str">
        <f>VLOOKUP(Table1345676[[#This Row],[ISIN No.]],'[1]Crisil data '!E:F,2,0)</f>
        <v>8.13 % KERALA SDL 21.03.2028</v>
      </c>
      <c r="D11" s="2" t="str">
        <f>VLOOKUP(Table1345676[[#This Row],[ISIN No.]],'[1]Crisil data '!E:I,5,0)</f>
        <v>SDL</v>
      </c>
      <c r="E11" s="36">
        <f>SUMIFS('[1]Crisil data '!L:L,'[1]Crisil data '!AI:AI,$D$3,'[1]Crisil data '!E:E,Table1345676[[#This Row],[ISIN No.]])</f>
        <v>156600</v>
      </c>
      <c r="F11" s="2">
        <f>SUMIFS('[1]Crisil data '!M:M,'[1]Crisil data '!AI:AI,$D$3,'[1]Crisil data '!E:E,Table1345676[[#This Row],[ISIN No.]])</f>
        <v>16797354.48</v>
      </c>
      <c r="G11" s="38">
        <f>+F11/$F$87</f>
        <v>1.1629074709507442E-2</v>
      </c>
      <c r="H11" s="37">
        <f>IFERROR(VLOOKUP(Table1345676[[#This Row],[ISIN No.]],'[1]Crisil data '!E:AJ,32,0),0)</f>
        <v>0</v>
      </c>
    </row>
    <row r="12" spans="1:8" x14ac:dyDescent="0.25">
      <c r="A12" s="8"/>
      <c r="B12" s="2" t="s">
        <v>98</v>
      </c>
      <c r="C12" s="2" t="str">
        <f>VLOOKUP(Table1345676[[#This Row],[ISIN No.]],'[1]Crisil data '!E:F,2,0)</f>
        <v>8.00% Karnataka SDL 2028 (17-JAN-2028)</v>
      </c>
      <c r="D12" s="2" t="str">
        <f>VLOOKUP(Table1345676[[#This Row],[ISIN No.]],'[1]Crisil data '!E:I,5,0)</f>
        <v>SDL</v>
      </c>
      <c r="E12" s="36">
        <f>SUMIFS('[1]Crisil data '!L:L,'[1]Crisil data '!AI:AI,$D$3,'[1]Crisil data '!E:E,Table1345676[[#This Row],[ISIN No.]])</f>
        <v>37000</v>
      </c>
      <c r="F12" s="2">
        <f>SUMIFS('[1]Crisil data '!M:M,'[1]Crisil data '!AI:AI,$D$3,'[1]Crisil data '!E:E,Table1345676[[#This Row],[ISIN No.]])</f>
        <v>3946849.2</v>
      </c>
      <c r="G12" s="38">
        <f>+F12/$F$87</f>
        <v>2.7324662504806343E-3</v>
      </c>
      <c r="H12" s="37">
        <f>IFERROR(VLOOKUP(Table1345676[[#This Row],[ISIN No.]],'[1]Crisil data '!E:AJ,32,0),0)</f>
        <v>0</v>
      </c>
    </row>
    <row r="13" spans="1:8" x14ac:dyDescent="0.25">
      <c r="A13" s="8"/>
      <c r="B13" s="2" t="s">
        <v>97</v>
      </c>
      <c r="C13" s="2" t="str">
        <f>VLOOKUP(Table1345676[[#This Row],[ISIN No.]],'[1]Crisil data '!E:F,2,0)</f>
        <v>8.33% GS 7.06.2036</v>
      </c>
      <c r="D13" s="2" t="str">
        <f>VLOOKUP(Table1345676[[#This Row],[ISIN No.]],'[1]Crisil data '!E:I,5,0)</f>
        <v>GOI</v>
      </c>
      <c r="E13" s="36">
        <f>SUMIFS('[1]Crisil data '!L:L,'[1]Crisil data '!AI:AI,$D$3,'[1]Crisil data '!E:E,Table1345676[[#This Row],[ISIN No.]])</f>
        <v>209400</v>
      </c>
      <c r="F13" s="2">
        <f>SUMIFS('[1]Crisil data '!M:M,'[1]Crisil data '!AI:AI,$D$3,'[1]Crisil data '!E:E,Table1345676[[#This Row],[ISIN No.]])</f>
        <v>23703012.059999999</v>
      </c>
      <c r="G13" s="38">
        <f>+F13/$F$87</f>
        <v>1.6409970892398283E-2</v>
      </c>
      <c r="H13" s="37">
        <f>IFERROR(VLOOKUP(Table1345676[[#This Row],[ISIN No.]],'[1]Crisil data '!E:AJ,32,0),0)</f>
        <v>0</v>
      </c>
    </row>
    <row r="14" spans="1:8" x14ac:dyDescent="0.25">
      <c r="A14" s="8"/>
      <c r="B14" s="2" t="s">
        <v>96</v>
      </c>
      <c r="C14" s="2" t="str">
        <f>VLOOKUP(Table1345676[[#This Row],[ISIN No.]],'[1]Crisil data '!E:F,2,0)</f>
        <v>8.69% Tamil Nadu SDL 24.02.2026</v>
      </c>
      <c r="D14" s="2" t="str">
        <f>VLOOKUP(Table1345676[[#This Row],[ISIN No.]],'[1]Crisil data '!E:I,5,0)</f>
        <v>SDL</v>
      </c>
      <c r="E14" s="36">
        <f>SUMIFS('[1]Crisil data '!L:L,'[1]Crisil data '!AI:AI,$D$3,'[1]Crisil data '!E:E,Table1345676[[#This Row],[ISIN No.]])</f>
        <v>10500</v>
      </c>
      <c r="F14" s="2">
        <f>SUMIFS('[1]Crisil data '!M:M,'[1]Crisil data '!AI:AI,$D$3,'[1]Crisil data '!E:E,Table1345676[[#This Row],[ISIN No.]])</f>
        <v>1153306.3500000001</v>
      </c>
      <c r="G14" s="38">
        <f>+F14/$F$87</f>
        <v>7.9845226360308018E-4</v>
      </c>
      <c r="H14" s="37">
        <f>IFERROR(VLOOKUP(Table1345676[[#This Row],[ISIN No.]],'[1]Crisil data '!E:AJ,32,0),0)</f>
        <v>0</v>
      </c>
    </row>
    <row r="15" spans="1:8" x14ac:dyDescent="0.25">
      <c r="A15" s="8"/>
      <c r="B15" s="2" t="s">
        <v>95</v>
      </c>
      <c r="C15" s="2" t="str">
        <f>VLOOKUP(Table1345676[[#This Row],[ISIN No.]],'[1]Crisil data '!E:F,2,0)</f>
        <v>8.36% Tamil Nadu SDL 12.12.2028</v>
      </c>
      <c r="D15" s="2" t="str">
        <f>VLOOKUP(Table1345676[[#This Row],[ISIN No.]],'[1]Crisil data '!E:I,5,0)</f>
        <v>SDL</v>
      </c>
      <c r="E15" s="36">
        <f>SUMIFS('[1]Crisil data '!L:L,'[1]Crisil data '!AI:AI,$D$3,'[1]Crisil data '!E:E,Table1345676[[#This Row],[ISIN No.]])</f>
        <v>400000</v>
      </c>
      <c r="F15" s="2">
        <f>SUMIFS('[1]Crisil data '!M:M,'[1]Crisil data '!AI:AI,$D$3,'[1]Crisil data '!E:E,Table1345676[[#This Row],[ISIN No.]])</f>
        <v>43566120</v>
      </c>
      <c r="G15" s="38">
        <f>+F15/$F$87</f>
        <v>3.0161515308056198E-2</v>
      </c>
      <c r="H15" s="37">
        <f>IFERROR(VLOOKUP(Table1345676[[#This Row],[ISIN No.]],'[1]Crisil data '!E:AJ,32,0),0)</f>
        <v>0</v>
      </c>
    </row>
    <row r="16" spans="1:8" x14ac:dyDescent="0.25">
      <c r="A16" s="8"/>
      <c r="B16" s="2" t="s">
        <v>94</v>
      </c>
      <c r="C16" s="2" t="str">
        <f>VLOOKUP(Table1345676[[#This Row],[ISIN No.]],'[1]Crisil data '!E:F,2,0)</f>
        <v>06.67 GOI 15 DEC- 2035</v>
      </c>
      <c r="D16" s="2" t="str">
        <f>VLOOKUP(Table1345676[[#This Row],[ISIN No.]],'[1]Crisil data '!E:I,5,0)</f>
        <v>GOI</v>
      </c>
      <c r="E16" s="36">
        <f>SUMIFS('[1]Crisil data '!L:L,'[1]Crisil data '!AI:AI,$D$3,'[1]Crisil data '!E:E,Table1345676[[#This Row],[ISIN No.]])</f>
        <v>950000</v>
      </c>
      <c r="F16" s="2">
        <f>SUMIFS('[1]Crisil data '!M:M,'[1]Crisil data '!AI:AI,$D$3,'[1]Crisil data '!E:E,Table1345676[[#This Row],[ISIN No.]])</f>
        <v>93042715</v>
      </c>
      <c r="G16" s="38">
        <f>+F16/$F$87</f>
        <v>6.4414946127302822E-2</v>
      </c>
      <c r="H16" s="37">
        <f>IFERROR(VLOOKUP(Table1345676[[#This Row],[ISIN No.]],'[1]Crisil data '!E:AJ,32,0),0)</f>
        <v>0</v>
      </c>
    </row>
    <row r="17" spans="1:8" x14ac:dyDescent="0.25">
      <c r="A17" s="8"/>
      <c r="B17" s="2" t="s">
        <v>93</v>
      </c>
      <c r="C17" s="2" t="str">
        <f>VLOOKUP(Table1345676[[#This Row],[ISIN No.]],'[1]Crisil data '!E:F,2,0)</f>
        <v>7.06 % GOI 10.10.2046</v>
      </c>
      <c r="D17" s="2" t="str">
        <f>VLOOKUP(Table1345676[[#This Row],[ISIN No.]],'[1]Crisil data '!E:I,5,0)</f>
        <v>GOI</v>
      </c>
      <c r="E17" s="36">
        <f>SUMIFS('[1]Crisil data '!L:L,'[1]Crisil data '!AI:AI,$D$3,'[1]Crisil data '!E:E,Table1345676[[#This Row],[ISIN No.]])</f>
        <v>364700</v>
      </c>
      <c r="F17" s="2">
        <f>SUMIFS('[1]Crisil data '!M:M,'[1]Crisil data '!AI:AI,$D$3,'[1]Crisil data '!E:E,Table1345676[[#This Row],[ISIN No.]])</f>
        <v>36450889.719999999</v>
      </c>
      <c r="G17" s="38">
        <f>+F17/$F$87</f>
        <v>2.5235528623665553E-2</v>
      </c>
      <c r="H17" s="37">
        <f>IFERROR(VLOOKUP(Table1345676[[#This Row],[ISIN No.]],'[1]Crisil data '!E:AJ,32,0),0)</f>
        <v>0</v>
      </c>
    </row>
    <row r="18" spans="1:8" x14ac:dyDescent="0.25">
      <c r="A18" s="8"/>
      <c r="B18" s="2" t="s">
        <v>92</v>
      </c>
      <c r="C18" s="2" t="str">
        <f>VLOOKUP(Table1345676[[#This Row],[ISIN No.]],'[1]Crisil data '!E:F,2,0)</f>
        <v>6.64% GOI 16-june-2035</v>
      </c>
      <c r="D18" s="2" t="str">
        <f>VLOOKUP(Table1345676[[#This Row],[ISIN No.]],'[1]Crisil data '!E:I,5,0)</f>
        <v>GOI</v>
      </c>
      <c r="E18" s="36">
        <f>SUMIFS('[1]Crisil data '!L:L,'[1]Crisil data '!AI:AI,$D$3,'[1]Crisil data '!E:E,Table1345676[[#This Row],[ISIN No.]])</f>
        <v>500000</v>
      </c>
      <c r="F18" s="2">
        <f>SUMIFS('[1]Crisil data '!M:M,'[1]Crisil data '!AI:AI,$D$3,'[1]Crisil data '!E:E,Table1345676[[#This Row],[ISIN No.]])</f>
        <v>48807200</v>
      </c>
      <c r="G18" s="38">
        <f>+F18/$F$87</f>
        <v>3.3789998052233261E-2</v>
      </c>
      <c r="H18" s="37">
        <f>IFERROR(VLOOKUP(Table1345676[[#This Row],[ISIN No.]],'[1]Crisil data '!E:AJ,32,0),0)</f>
        <v>0</v>
      </c>
    </row>
    <row r="19" spans="1:8" x14ac:dyDescent="0.25">
      <c r="A19" s="8"/>
      <c r="B19" s="2" t="s">
        <v>91</v>
      </c>
      <c r="C19" s="2" t="str">
        <f>VLOOKUP(Table1345676[[#This Row],[ISIN No.]],'[1]Crisil data '!E:F,2,0)</f>
        <v>6.01% GOVT 25-March-2028</v>
      </c>
      <c r="D19" s="2" t="str">
        <f>VLOOKUP(Table1345676[[#This Row],[ISIN No.]],'[1]Crisil data '!E:I,5,0)</f>
        <v>GOI</v>
      </c>
      <c r="E19" s="36">
        <f>SUMIFS('[1]Crisil data '!L:L,'[1]Crisil data '!AI:AI,$D$3,'[1]Crisil data '!E:E,Table1345676[[#This Row],[ISIN No.]])</f>
        <v>15000</v>
      </c>
      <c r="F19" s="2">
        <f>SUMIFS('[1]Crisil data '!M:M,'[1]Crisil data '!AI:AI,$D$3,'[1]Crisil data '!E:E,Table1345676[[#This Row],[ISIN No.]])</f>
        <v>1476666</v>
      </c>
      <c r="G19" s="38">
        <f>+F19/$F$87</f>
        <v>1.0223192738735079E-3</v>
      </c>
      <c r="H19" s="37">
        <f>IFERROR(VLOOKUP(Table1345676[[#This Row],[ISIN No.]],'[1]Crisil data '!E:AJ,32,0),0)</f>
        <v>0</v>
      </c>
    </row>
    <row r="20" spans="1:8" x14ac:dyDescent="0.25">
      <c r="A20" s="8"/>
      <c r="B20" s="2" t="s">
        <v>90</v>
      </c>
      <c r="C20" s="2" t="str">
        <f>VLOOKUP(Table1345676[[#This Row],[ISIN No.]],'[1]Crisil data '!E:F,2,0)</f>
        <v>7.40% GOI 09.09.2035</v>
      </c>
      <c r="D20" s="2" t="str">
        <f>VLOOKUP(Table1345676[[#This Row],[ISIN No.]],'[1]Crisil data '!E:I,5,0)</f>
        <v>GOI</v>
      </c>
      <c r="E20" s="36">
        <f>SUMIFS('[1]Crisil data '!L:L,'[1]Crisil data '!AI:AI,$D$3,'[1]Crisil data '!E:E,Table1345676[[#This Row],[ISIN No.]])</f>
        <v>104600</v>
      </c>
      <c r="F20" s="2">
        <f>SUMIFS('[1]Crisil data '!M:M,'[1]Crisil data '!AI:AI,$D$3,'[1]Crisil data '!E:E,Table1345676[[#This Row],[ISIN No.]])</f>
        <v>10933294.08</v>
      </c>
      <c r="G20" s="38">
        <f>+F20/$F$87</f>
        <v>7.5692927614715334E-3</v>
      </c>
      <c r="H20" s="37">
        <f>IFERROR(VLOOKUP(Table1345676[[#This Row],[ISIN No.]],'[1]Crisil data '!E:AJ,32,0),0)</f>
        <v>0</v>
      </c>
    </row>
    <row r="21" spans="1:8" x14ac:dyDescent="0.25">
      <c r="A21" s="8"/>
      <c r="B21" s="2" t="s">
        <v>89</v>
      </c>
      <c r="C21" s="2" t="str">
        <f>VLOOKUP(Table1345676[[#This Row],[ISIN No.]],'[1]Crisil data '!E:F,2,0)</f>
        <v>7.68% GS 15.12.2023</v>
      </c>
      <c r="D21" s="2" t="str">
        <f>VLOOKUP(Table1345676[[#This Row],[ISIN No.]],'[1]Crisil data '!E:I,5,0)</f>
        <v>GOI</v>
      </c>
      <c r="E21" s="36">
        <f>SUMIFS('[1]Crisil data '!L:L,'[1]Crisil data '!AI:AI,$D$3,'[1]Crisil data '!E:E,Table1345676[[#This Row],[ISIN No.]])</f>
        <v>55000</v>
      </c>
      <c r="F21" s="2">
        <f>SUMIFS('[1]Crisil data '!M:M,'[1]Crisil data '!AI:AI,$D$3,'[1]Crisil data '!E:E,Table1345676[[#This Row],[ISIN No.]])</f>
        <v>5769637.5</v>
      </c>
      <c r="G21" s="38">
        <f>+F21/$F$87</f>
        <v>3.9944114779600541E-3</v>
      </c>
      <c r="H21" s="37">
        <f>IFERROR(VLOOKUP(Table1345676[[#This Row],[ISIN No.]],'[1]Crisil data '!E:AJ,32,0),0)</f>
        <v>0</v>
      </c>
    </row>
    <row r="22" spans="1:8" x14ac:dyDescent="0.25">
      <c r="A22" s="8"/>
      <c r="B22" s="2" t="s">
        <v>88</v>
      </c>
      <c r="C22" s="2" t="str">
        <f>VLOOKUP(Table1345676[[#This Row],[ISIN No.]],'[1]Crisil data '!E:F,2,0)</f>
        <v>8.60% GS 2028 (02-JUN-2028)</v>
      </c>
      <c r="D22" s="2" t="str">
        <f>VLOOKUP(Table1345676[[#This Row],[ISIN No.]],'[1]Crisil data '!E:I,5,0)</f>
        <v>GOI</v>
      </c>
      <c r="E22" s="36">
        <f>SUMIFS('[1]Crisil data '!L:L,'[1]Crisil data '!AI:AI,$D$3,'[1]Crisil data '!E:E,Table1345676[[#This Row],[ISIN No.]])</f>
        <v>180000</v>
      </c>
      <c r="F22" s="2">
        <f>SUMIFS('[1]Crisil data '!M:M,'[1]Crisil data '!AI:AI,$D$3,'[1]Crisil data '!E:E,Table1345676[[#This Row],[ISIN No.]])</f>
        <v>20078964</v>
      </c>
      <c r="G22" s="38">
        <f>+F22/$F$87</f>
        <v>1.390098498686386E-2</v>
      </c>
      <c r="H22" s="37">
        <f>IFERROR(VLOOKUP(Table1345676[[#This Row],[ISIN No.]],'[1]Crisil data '!E:AJ,32,0),0)</f>
        <v>0</v>
      </c>
    </row>
    <row r="23" spans="1:8" x14ac:dyDescent="0.25">
      <c r="A23" s="8"/>
      <c r="B23" s="2" t="s">
        <v>87</v>
      </c>
      <c r="C23" s="2" t="str">
        <f>VLOOKUP(Table1345676[[#This Row],[ISIN No.]],'[1]Crisil data '!E:F,2,0)</f>
        <v>7.50% GOI 10-Aug-2034</v>
      </c>
      <c r="D23" s="2" t="str">
        <f>VLOOKUP(Table1345676[[#This Row],[ISIN No.]],'[1]Crisil data '!E:I,5,0)</f>
        <v>GOI</v>
      </c>
      <c r="E23" s="36">
        <f>SUMIFS('[1]Crisil data '!L:L,'[1]Crisil data '!AI:AI,$D$3,'[1]Crisil data '!E:E,Table1345676[[#This Row],[ISIN No.]])</f>
        <v>136000</v>
      </c>
      <c r="F23" s="2">
        <f>SUMIFS('[1]Crisil data '!M:M,'[1]Crisil data '!AI:AI,$D$3,'[1]Crisil data '!E:E,Table1345676[[#This Row],[ISIN No.]])</f>
        <v>14357016.800000001</v>
      </c>
      <c r="G23" s="38">
        <f>+F23/$F$87</f>
        <v>9.9395902593855043E-3</v>
      </c>
      <c r="H23" s="37">
        <f>IFERROR(VLOOKUP(Table1345676[[#This Row],[ISIN No.]],'[1]Crisil data '!E:AJ,32,0),0)</f>
        <v>0</v>
      </c>
    </row>
    <row r="24" spans="1:8" x14ac:dyDescent="0.25">
      <c r="A24" s="8"/>
      <c r="B24" s="2" t="s">
        <v>86</v>
      </c>
      <c r="C24" s="2" t="str">
        <f>VLOOKUP(Table1345676[[#This Row],[ISIN No.]],'[1]Crisil data '!E:F,2,0)</f>
        <v>6.62% GOI 2051 (28-NOV-2051)  2051.</v>
      </c>
      <c r="D24" s="2" t="str">
        <f>VLOOKUP(Table1345676[[#This Row],[ISIN No.]],'[1]Crisil data '!E:I,5,0)</f>
        <v>GOI</v>
      </c>
      <c r="E24" s="36">
        <f>SUMIFS('[1]Crisil data '!L:L,'[1]Crisil data '!AI:AI,$D$3,'[1]Crisil data '!E:E,Table1345676[[#This Row],[ISIN No.]])</f>
        <v>300000</v>
      </c>
      <c r="F24" s="2">
        <f>SUMIFS('[1]Crisil data '!M:M,'[1]Crisil data '!AI:AI,$D$3,'[1]Crisil data '!E:E,Table1345676[[#This Row],[ISIN No.]])</f>
        <v>28477920</v>
      </c>
      <c r="G24" s="38">
        <f>+F24/$F$87</f>
        <v>1.9715715331583346E-2</v>
      </c>
      <c r="H24" s="37">
        <f>IFERROR(VLOOKUP(Table1345676[[#This Row],[ISIN No.]],'[1]Crisil data '!E:AJ,32,0),0)</f>
        <v>0</v>
      </c>
    </row>
    <row r="25" spans="1:8" x14ac:dyDescent="0.25">
      <c r="A25" s="8"/>
      <c r="B25" s="2" t="s">
        <v>85</v>
      </c>
      <c r="C25" s="2" t="str">
        <f>VLOOKUP(Table1345676[[#This Row],[ISIN No.]],'[1]Crisil data '!E:F,2,0)</f>
        <v>8.32% GS 02.08.2032</v>
      </c>
      <c r="D25" s="2" t="str">
        <f>VLOOKUP(Table1345676[[#This Row],[ISIN No.]],'[1]Crisil data '!E:I,5,0)</f>
        <v>GOI</v>
      </c>
      <c r="E25" s="36">
        <f>SUMIFS('[1]Crisil data '!L:L,'[1]Crisil data '!AI:AI,$D$3,'[1]Crisil data '!E:E,Table1345676[[#This Row],[ISIN No.]])</f>
        <v>500000</v>
      </c>
      <c r="F25" s="2">
        <f>SUMIFS('[1]Crisil data '!M:M,'[1]Crisil data '!AI:AI,$D$3,'[1]Crisil data '!E:E,Table1345676[[#This Row],[ISIN No.]])</f>
        <v>56429950</v>
      </c>
      <c r="G25" s="38">
        <f>+F25/$F$87</f>
        <v>3.9067348681908004E-2</v>
      </c>
      <c r="H25" s="37">
        <f>IFERROR(VLOOKUP(Table1345676[[#This Row],[ISIN No.]],'[1]Crisil data '!E:AJ,32,0),0)</f>
        <v>0</v>
      </c>
    </row>
    <row r="26" spans="1:8" x14ac:dyDescent="0.25">
      <c r="A26" s="8"/>
      <c r="B26" s="2" t="s">
        <v>84</v>
      </c>
      <c r="C26" s="2" t="str">
        <f>VLOOKUP(Table1345676[[#This Row],[ISIN No.]],'[1]Crisil data '!E:F,2,0)</f>
        <v>6.22% GOI 2035 (16-Mar-2035)</v>
      </c>
      <c r="D26" s="2" t="str">
        <f>VLOOKUP(Table1345676[[#This Row],[ISIN No.]],'[1]Crisil data '!E:I,5,0)</f>
        <v>GOI</v>
      </c>
      <c r="E26" s="36">
        <f>SUMIFS('[1]Crisil data '!L:L,'[1]Crisil data '!AI:AI,$D$3,'[1]Crisil data '!E:E,Table1345676[[#This Row],[ISIN No.]])</f>
        <v>425400</v>
      </c>
      <c r="F26" s="2">
        <f>SUMIFS('[1]Crisil data '!M:M,'[1]Crisil data '!AI:AI,$D$3,'[1]Crisil data '!E:E,Table1345676[[#This Row],[ISIN No.]])</f>
        <v>40224760.5</v>
      </c>
      <c r="G26" s="38">
        <f>+F26/$F$87</f>
        <v>2.7848239172633328E-2</v>
      </c>
      <c r="H26" s="37">
        <f>IFERROR(VLOOKUP(Table1345676[[#This Row],[ISIN No.]],'[1]Crisil data '!E:AJ,32,0),0)</f>
        <v>0</v>
      </c>
    </row>
    <row r="27" spans="1:8" x14ac:dyDescent="0.25">
      <c r="A27" s="8"/>
      <c r="B27" s="2" t="s">
        <v>83</v>
      </c>
      <c r="C27" s="2" t="str">
        <f>VLOOKUP(Table1345676[[#This Row],[ISIN No.]],'[1]Crisil data '!E:F,2,0)</f>
        <v>8.83% GOI 12.12.2041</v>
      </c>
      <c r="D27" s="2" t="str">
        <f>VLOOKUP(Table1345676[[#This Row],[ISIN No.]],'[1]Crisil data '!E:I,5,0)</f>
        <v>GOI</v>
      </c>
      <c r="E27" s="36">
        <f>SUMIFS('[1]Crisil data '!L:L,'[1]Crisil data '!AI:AI,$D$3,'[1]Crisil data '!E:E,Table1345676[[#This Row],[ISIN No.]])</f>
        <v>59000</v>
      </c>
      <c r="F27" s="2">
        <f>SUMIFS('[1]Crisil data '!M:M,'[1]Crisil data '!AI:AI,$D$3,'[1]Crisil data '!E:E,Table1345676[[#This Row],[ISIN No.]])</f>
        <v>7066294.2999999998</v>
      </c>
      <c r="G27" s="38">
        <f>+F27/$F$87</f>
        <v>4.8921075299035183E-3</v>
      </c>
      <c r="H27" s="37">
        <f>IFERROR(VLOOKUP(Table1345676[[#This Row],[ISIN No.]],'[1]Crisil data '!E:AJ,32,0),0)</f>
        <v>0</v>
      </c>
    </row>
    <row r="28" spans="1:8" x14ac:dyDescent="0.25">
      <c r="A28" s="8"/>
      <c r="B28" s="2" t="s">
        <v>82</v>
      </c>
      <c r="C28" s="2" t="str">
        <f>VLOOKUP(Table1345676[[#This Row],[ISIN No.]],'[1]Crisil data '!E:F,2,0)</f>
        <v>7.72% GOI 26.10.2055.</v>
      </c>
      <c r="D28" s="2" t="str">
        <f>VLOOKUP(Table1345676[[#This Row],[ISIN No.]],'[1]Crisil data '!E:I,5,0)</f>
        <v>GOI</v>
      </c>
      <c r="E28" s="36">
        <f>SUMIFS('[1]Crisil data '!L:L,'[1]Crisil data '!AI:AI,$D$3,'[1]Crisil data '!E:E,Table1345676[[#This Row],[ISIN No.]])</f>
        <v>63000</v>
      </c>
      <c r="F28" s="2">
        <f>SUMIFS('[1]Crisil data '!M:M,'[1]Crisil data '!AI:AI,$D$3,'[1]Crisil data '!E:E,Table1345676[[#This Row],[ISIN No.]])</f>
        <v>6805480.5</v>
      </c>
      <c r="G28" s="38">
        <f>+F28/$F$87</f>
        <v>4.7115420028092459E-3</v>
      </c>
      <c r="H28" s="37">
        <f>IFERROR(VLOOKUP(Table1345676[[#This Row],[ISIN No.]],'[1]Crisil data '!E:AJ,32,0),0)</f>
        <v>0</v>
      </c>
    </row>
    <row r="29" spans="1:8" x14ac:dyDescent="0.25">
      <c r="A29" s="8"/>
      <c r="B29" s="2" t="s">
        <v>81</v>
      </c>
      <c r="C29" s="2" t="str">
        <f>VLOOKUP(Table1345676[[#This Row],[ISIN No.]],'[1]Crisil data '!E:F,2,0)</f>
        <v>05.77% GOI 03-Aug-2030</v>
      </c>
      <c r="D29" s="2" t="str">
        <f>VLOOKUP(Table1345676[[#This Row],[ISIN No.]],'[1]Crisil data '!E:I,5,0)</f>
        <v>GOI</v>
      </c>
      <c r="E29" s="36">
        <f>SUMIFS('[1]Crisil data '!L:L,'[1]Crisil data '!AI:AI,$D$3,'[1]Crisil data '!E:E,Table1345676[[#This Row],[ISIN No.]])</f>
        <v>140000</v>
      </c>
      <c r="F29" s="2">
        <f>SUMIFS('[1]Crisil data '!M:M,'[1]Crisil data '!AI:AI,$D$3,'[1]Crisil data '!E:E,Table1345676[[#This Row],[ISIN No.]])</f>
        <v>13465718</v>
      </c>
      <c r="G29" s="38">
        <f>+F29/$F$87</f>
        <v>9.3225299749201424E-3</v>
      </c>
      <c r="H29" s="37">
        <f>IFERROR(VLOOKUP(Table1345676[[#This Row],[ISIN No.]],'[1]Crisil data '!E:AJ,32,0),0)</f>
        <v>0</v>
      </c>
    </row>
    <row r="30" spans="1:8" x14ac:dyDescent="0.25">
      <c r="A30" s="8"/>
      <c r="B30" s="2" t="s">
        <v>80</v>
      </c>
      <c r="C30" s="2" t="str">
        <f>VLOOKUP(Table1345676[[#This Row],[ISIN No.]],'[1]Crisil data '!E:F,2,0)</f>
        <v>8.65% Nabard (GOI Service) 8 Jun 2028</v>
      </c>
      <c r="D30" s="2" t="str">
        <f>VLOOKUP(Table1345676[[#This Row],[ISIN No.]],'[1]Crisil data '!E:I,5,0)</f>
        <v>Other monetary intermediation services n.e.c.</v>
      </c>
      <c r="E30" s="36">
        <f>SUMIFS('[1]Crisil data '!L:L,'[1]Crisil data '!AI:AI,$D$3,'[1]Crisil data '!E:E,Table1345676[[#This Row],[ISIN No.]])</f>
        <v>3</v>
      </c>
      <c r="F30" s="2">
        <f>SUMIFS('[1]Crisil data '!M:M,'[1]Crisil data '!AI:AI,$D$3,'[1]Crisil data '!E:E,Table1345676[[#This Row],[ISIN No.]])</f>
        <v>3354612</v>
      </c>
      <c r="G30" s="38">
        <f>+F30/$F$87</f>
        <v>2.3224510511973299E-3</v>
      </c>
      <c r="H30" s="37" t="str">
        <f>IFERROR(VLOOKUP(Table1345676[[#This Row],[ISIN No.]],'[1]Crisil data '!E:AJ,32,0),0)</f>
        <v>CRISIL AAA</v>
      </c>
    </row>
    <row r="31" spans="1:8" x14ac:dyDescent="0.25">
      <c r="A31" s="8"/>
      <c r="B31" s="2" t="s">
        <v>79</v>
      </c>
      <c r="C31" s="2" t="str">
        <f>VLOOKUP(Table1345676[[#This Row],[ISIN No.]],'[1]Crisil data '!E:F,2,0)</f>
        <v>7.17% GOI 08-Jan-2028</v>
      </c>
      <c r="D31" s="2" t="str">
        <f>VLOOKUP(Table1345676[[#This Row],[ISIN No.]],'[1]Crisil data '!E:I,5,0)</f>
        <v>GOI</v>
      </c>
      <c r="E31" s="36">
        <f>SUMIFS('[1]Crisil data '!L:L,'[1]Crisil data '!AI:AI,$D$3,'[1]Crisil data '!E:E,Table1345676[[#This Row],[ISIN No.]])</f>
        <v>55000</v>
      </c>
      <c r="F31" s="2">
        <f>SUMIFS('[1]Crisil data '!M:M,'[1]Crisil data '!AI:AI,$D$3,'[1]Crisil data '!E:E,Table1345676[[#This Row],[ISIN No.]])</f>
        <v>5741505</v>
      </c>
      <c r="G31" s="38">
        <f>+F31/$F$87</f>
        <v>3.9749349023686575E-3</v>
      </c>
      <c r="H31" s="37">
        <f>IFERROR(VLOOKUP(Table1345676[[#This Row],[ISIN No.]],'[1]Crisil data '!E:AJ,32,0),0)</f>
        <v>0</v>
      </c>
    </row>
    <row r="32" spans="1:8" x14ac:dyDescent="0.25">
      <c r="A32" s="8"/>
      <c r="B32" s="2" t="s">
        <v>78</v>
      </c>
      <c r="C32" s="2" t="str">
        <f>VLOOKUP(Table1345676[[#This Row],[ISIN No.]],'[1]Crisil data '!E:F,2,0)</f>
        <v>8.17% GS 2044 (01-DEC-2044).</v>
      </c>
      <c r="D32" s="2" t="str">
        <f>VLOOKUP(Table1345676[[#This Row],[ISIN No.]],'[1]Crisil data '!E:I,5,0)</f>
        <v>GOI</v>
      </c>
      <c r="E32" s="36">
        <f>SUMIFS('[1]Crisil data '!L:L,'[1]Crisil data '!AI:AI,$D$3,'[1]Crisil data '!E:E,Table1345676[[#This Row],[ISIN No.]])</f>
        <v>250500</v>
      </c>
      <c r="F32" s="2">
        <f>SUMIFS('[1]Crisil data '!M:M,'[1]Crisil data '!AI:AI,$D$3,'[1]Crisil data '!E:E,Table1345676[[#This Row],[ISIN No.]])</f>
        <v>28304921.850000001</v>
      </c>
      <c r="G32" s="38">
        <f>+F32/$F$87</f>
        <v>1.9595945970678808E-2</v>
      </c>
      <c r="H32" s="37">
        <f>IFERROR(VLOOKUP(Table1345676[[#This Row],[ISIN No.]],'[1]Crisil data '!E:AJ,32,0),0)</f>
        <v>0</v>
      </c>
    </row>
    <row r="33" spans="1:8" x14ac:dyDescent="0.25">
      <c r="A33" s="8"/>
      <c r="B33" s="2" t="s">
        <v>77</v>
      </c>
      <c r="C33" s="2" t="str">
        <f>VLOOKUP(Table1345676[[#This Row],[ISIN No.]],'[1]Crisil data '!E:F,2,0)</f>
        <v>7.62% GS 2039 (15-09-2039)</v>
      </c>
      <c r="D33" s="2" t="str">
        <f>VLOOKUP(Table1345676[[#This Row],[ISIN No.]],'[1]Crisil data '!E:I,5,0)</f>
        <v>GOI</v>
      </c>
      <c r="E33" s="36">
        <f>SUMIFS('[1]Crisil data '!L:L,'[1]Crisil data '!AI:AI,$D$3,'[1]Crisil data '!E:E,Table1345676[[#This Row],[ISIN No.]])</f>
        <v>28300</v>
      </c>
      <c r="F33" s="2">
        <f>SUMIFS('[1]Crisil data '!M:M,'[1]Crisil data '!AI:AI,$D$3,'[1]Crisil data '!E:E,Table1345676[[#This Row],[ISIN No.]])</f>
        <v>3013850.95</v>
      </c>
      <c r="G33" s="38">
        <f>+F33/$F$87</f>
        <v>2.0865367759310381E-3</v>
      </c>
      <c r="H33" s="37">
        <f>IFERROR(VLOOKUP(Table1345676[[#This Row],[ISIN No.]],'[1]Crisil data '!E:AJ,32,0),0)</f>
        <v>0</v>
      </c>
    </row>
    <row r="34" spans="1:8" x14ac:dyDescent="0.25">
      <c r="A34" s="8"/>
      <c r="B34" s="2" t="s">
        <v>76</v>
      </c>
      <c r="C34" s="2" t="str">
        <f>VLOOKUP(Table1345676[[#This Row],[ISIN No.]],'[1]Crisil data '!E:F,2,0)</f>
        <v>7.69% GOI 17.06.2043</v>
      </c>
      <c r="D34" s="2" t="str">
        <f>VLOOKUP(Table1345676[[#This Row],[ISIN No.]],'[1]Crisil data '!E:I,5,0)</f>
        <v>GOI</v>
      </c>
      <c r="E34" s="36">
        <f>SUMIFS('[1]Crisil data '!L:L,'[1]Crisil data '!AI:AI,$D$3,'[1]Crisil data '!E:E,Table1345676[[#This Row],[ISIN No.]])</f>
        <v>170000</v>
      </c>
      <c r="F34" s="2">
        <f>SUMIFS('[1]Crisil data '!M:M,'[1]Crisil data '!AI:AI,$D$3,'[1]Crisil data '!E:E,Table1345676[[#This Row],[ISIN No.]])</f>
        <v>18155116</v>
      </c>
      <c r="G34" s="38">
        <f>+F34/$F$87</f>
        <v>1.256907452748916E-2</v>
      </c>
      <c r="H34" s="37">
        <f>IFERROR(VLOOKUP(Table1345676[[#This Row],[ISIN No.]],'[1]Crisil data '!E:AJ,32,0),0)</f>
        <v>0</v>
      </c>
    </row>
    <row r="35" spans="1:8" x14ac:dyDescent="0.25">
      <c r="A35" s="8"/>
      <c r="B35" s="2" t="s">
        <v>75</v>
      </c>
      <c r="C35" s="2" t="str">
        <f>VLOOKUP(Table1345676[[#This Row],[ISIN No.]],'[1]Crisil data '!E:F,2,0)</f>
        <v>8.24% GOI 15-Feb-2027</v>
      </c>
      <c r="D35" s="2" t="str">
        <f>VLOOKUP(Table1345676[[#This Row],[ISIN No.]],'[1]Crisil data '!E:I,5,0)</f>
        <v>GOI</v>
      </c>
      <c r="E35" s="36">
        <f>SUMIFS('[1]Crisil data '!L:L,'[1]Crisil data '!AI:AI,$D$3,'[1]Crisil data '!E:E,Table1345676[[#This Row],[ISIN No.]])</f>
        <v>248000</v>
      </c>
      <c r="F35" s="2">
        <f>SUMIFS('[1]Crisil data '!M:M,'[1]Crisil data '!AI:AI,$D$3,'[1]Crisil data '!E:E,Table1345676[[#This Row],[ISIN No.]])</f>
        <v>27121329.600000001</v>
      </c>
      <c r="G35" s="38">
        <f>+F35/$F$87</f>
        <v>1.8776526298537436E-2</v>
      </c>
      <c r="H35" s="37">
        <f>IFERROR(VLOOKUP(Table1345676[[#This Row],[ISIN No.]],'[1]Crisil data '!E:AJ,32,0),0)</f>
        <v>0</v>
      </c>
    </row>
    <row r="36" spans="1:8" x14ac:dyDescent="0.25">
      <c r="A36" s="8"/>
      <c r="B36" s="2" t="s">
        <v>74</v>
      </c>
      <c r="C36" s="2" t="str">
        <f>VLOOKUP(Table1345676[[#This Row],[ISIN No.]],'[1]Crisil data '!E:F,2,0)</f>
        <v>7.95% GOI  28-Aug-2032</v>
      </c>
      <c r="D36" s="2" t="str">
        <f>VLOOKUP(Table1345676[[#This Row],[ISIN No.]],'[1]Crisil data '!E:I,5,0)</f>
        <v>GOI</v>
      </c>
      <c r="E36" s="36">
        <f>SUMIFS('[1]Crisil data '!L:L,'[1]Crisil data '!AI:AI,$D$3,'[1]Crisil data '!E:E,Table1345676[[#This Row],[ISIN No.]])</f>
        <v>687000</v>
      </c>
      <c r="F36" s="2">
        <f>SUMIFS('[1]Crisil data '!M:M,'[1]Crisil data '!AI:AI,$D$3,'[1]Crisil data '!E:E,Table1345676[[#This Row],[ISIN No.]])</f>
        <v>75652508.700000003</v>
      </c>
      <c r="G36" s="38">
        <f>+F36/$F$87</f>
        <v>5.2375430707345634E-2</v>
      </c>
      <c r="H36" s="37">
        <f>IFERROR(VLOOKUP(Table1345676[[#This Row],[ISIN No.]],'[1]Crisil data '!E:AJ,32,0),0)</f>
        <v>0</v>
      </c>
    </row>
    <row r="37" spans="1:8" x14ac:dyDescent="0.25">
      <c r="A37" s="8"/>
      <c r="B37" s="2" t="s">
        <v>73</v>
      </c>
      <c r="C37" s="2" t="str">
        <f>VLOOKUP(Table1345676[[#This Row],[ISIN No.]],'[1]Crisil data '!E:F,2,0)</f>
        <v>7.33% MAHARASHTRA SDL 2027</v>
      </c>
      <c r="D37" s="2" t="str">
        <f>VLOOKUP(Table1345676[[#This Row],[ISIN No.]],'[1]Crisil data '!E:I,5,0)</f>
        <v>SDL</v>
      </c>
      <c r="E37" s="36">
        <f>SUMIFS('[1]Crisil data '!L:L,'[1]Crisil data '!AI:AI,$D$3,'[1]Crisil data '!E:E,Table1345676[[#This Row],[ISIN No.]])</f>
        <v>68000</v>
      </c>
      <c r="F37" s="2">
        <f>SUMIFS('[1]Crisil data '!M:M,'[1]Crisil data '!AI:AI,$D$3,'[1]Crisil data '!E:E,Table1345676[[#This Row],[ISIN No.]])</f>
        <v>7093637.5999999996</v>
      </c>
      <c r="G37" s="38">
        <f>+F37/$F$87</f>
        <v>4.9110377298277426E-3</v>
      </c>
      <c r="H37" s="37">
        <f>IFERROR(VLOOKUP(Table1345676[[#This Row],[ISIN No.]],'[1]Crisil data '!E:AJ,32,0),0)</f>
        <v>0</v>
      </c>
    </row>
    <row r="38" spans="1:8" x14ac:dyDescent="0.25">
      <c r="A38" s="8"/>
      <c r="B38" s="2" t="s">
        <v>72</v>
      </c>
      <c r="C38" s="2" t="str">
        <f>VLOOKUP(Table1345676[[#This Row],[ISIN No.]],'[1]Crisil data '!E:F,2,0)</f>
        <v>6.57% GOI 2033 (MD 05/12/2033)</v>
      </c>
      <c r="D38" s="2" t="str">
        <f>VLOOKUP(Table1345676[[#This Row],[ISIN No.]],'[1]Crisil data '!E:I,5,0)</f>
        <v>GOI</v>
      </c>
      <c r="E38" s="36">
        <f>SUMIFS('[1]Crisil data '!L:L,'[1]Crisil data '!AI:AI,$D$3,'[1]Crisil data '!E:E,Table1345676[[#This Row],[ISIN No.]])</f>
        <v>664900</v>
      </c>
      <c r="F38" s="2">
        <f>SUMIFS('[1]Crisil data '!M:M,'[1]Crisil data '!AI:AI,$D$3,'[1]Crisil data '!E:E,Table1345676[[#This Row],[ISIN No.]])</f>
        <v>65925034.469999999</v>
      </c>
      <c r="G38" s="38">
        <f>+F38/$F$87</f>
        <v>4.564094613775653E-2</v>
      </c>
      <c r="H38" s="37">
        <f>IFERROR(VLOOKUP(Table1345676[[#This Row],[ISIN No.]],'[1]Crisil data '!E:AJ,32,0),0)</f>
        <v>0</v>
      </c>
    </row>
    <row r="39" spans="1:8" x14ac:dyDescent="0.25">
      <c r="A39" s="8"/>
      <c r="B39" s="2" t="s">
        <v>71</v>
      </c>
      <c r="C39" s="2" t="str">
        <f>VLOOKUP(Table1345676[[#This Row],[ISIN No.]],'[1]Crisil data '!E:F,2,0)</f>
        <v>6.79% GS 26.12.2029</v>
      </c>
      <c r="D39" s="2" t="str">
        <f>VLOOKUP(Table1345676[[#This Row],[ISIN No.]],'[1]Crisil data '!E:I,5,0)</f>
        <v>GOI</v>
      </c>
      <c r="E39" s="36">
        <f>SUMIFS('[1]Crisil data '!L:L,'[1]Crisil data '!AI:AI,$D$3,'[1]Crisil data '!E:E,Table1345676[[#This Row],[ISIN No.]])</f>
        <v>1135300</v>
      </c>
      <c r="F39" s="2">
        <f>SUMIFS('[1]Crisil data '!M:M,'[1]Crisil data '!AI:AI,$D$3,'[1]Crisil data '!E:E,Table1345676[[#This Row],[ISIN No.]])</f>
        <v>116027660</v>
      </c>
      <c r="G39" s="38">
        <f>+F39/$F$87</f>
        <v>8.0327787814199192E-2</v>
      </c>
      <c r="H39" s="37">
        <f>IFERROR(VLOOKUP(Table1345676[[#This Row],[ISIN No.]],'[1]Crisil data '!E:AJ,32,0),0)</f>
        <v>0</v>
      </c>
    </row>
    <row r="40" spans="1:8" x14ac:dyDescent="0.25">
      <c r="A40" s="8"/>
      <c r="B40" s="2" t="s">
        <v>70</v>
      </c>
      <c r="C40" s="2" t="str">
        <f>VLOOKUP(Table1345676[[#This Row],[ISIN No.]],'[1]Crisil data '!E:F,2,0)</f>
        <v>8.67% Maharashtra SDL 24 Feb 2026</v>
      </c>
      <c r="D40" s="2" t="str">
        <f>VLOOKUP(Table1345676[[#This Row],[ISIN No.]],'[1]Crisil data '!E:I,5,0)</f>
        <v>SDL</v>
      </c>
      <c r="E40" s="36">
        <f>SUMIFS('[1]Crisil data '!L:L,'[1]Crisil data '!AI:AI,$D$3,'[1]Crisil data '!E:E,Table1345676[[#This Row],[ISIN No.]])</f>
        <v>30000</v>
      </c>
      <c r="F40" s="2">
        <f>SUMIFS('[1]Crisil data '!M:M,'[1]Crisil data '!AI:AI,$D$3,'[1]Crisil data '!E:E,Table1345676[[#This Row],[ISIN No.]])</f>
        <v>3292989</v>
      </c>
      <c r="G40" s="38">
        <f>+F40/$F$87</f>
        <v>2.2797884717014202E-3</v>
      </c>
      <c r="H40" s="37">
        <f>IFERROR(VLOOKUP(Table1345676[[#This Row],[ISIN No.]],'[1]Crisil data '!E:AJ,32,0),0)</f>
        <v>0</v>
      </c>
    </row>
    <row r="41" spans="1:8" x14ac:dyDescent="0.25">
      <c r="A41" s="8"/>
      <c r="B41" s="2" t="s">
        <v>69</v>
      </c>
      <c r="C41" s="2" t="str">
        <f>VLOOKUP(Table1345676[[#This Row],[ISIN No.]],'[1]Crisil data '!E:F,2,0)</f>
        <v>7.73% GS  MD 19/12/2034</v>
      </c>
      <c r="D41" s="2" t="str">
        <f>VLOOKUP(Table1345676[[#This Row],[ISIN No.]],'[1]Crisil data '!E:I,5,0)</f>
        <v>GOI</v>
      </c>
      <c r="E41" s="36">
        <f>SUMIFS('[1]Crisil data '!L:L,'[1]Crisil data '!AI:AI,$D$3,'[1]Crisil data '!E:E,Table1345676[[#This Row],[ISIN No.]])</f>
        <v>100000</v>
      </c>
      <c r="F41" s="2">
        <f>SUMIFS('[1]Crisil data '!M:M,'[1]Crisil data '!AI:AI,$D$3,'[1]Crisil data '!E:E,Table1345676[[#This Row],[ISIN No.]])</f>
        <v>10781830</v>
      </c>
      <c r="G41" s="38">
        <f>+F41/$F$87</f>
        <v>7.4644317784980522E-3</v>
      </c>
      <c r="H41" s="37">
        <f>IFERROR(VLOOKUP(Table1345676[[#This Row],[ISIN No.]],'[1]Crisil data '!E:AJ,32,0),0)</f>
        <v>0</v>
      </c>
    </row>
    <row r="42" spans="1:8" x14ac:dyDescent="0.25">
      <c r="A42" s="8"/>
      <c r="B42" s="2" t="s">
        <v>68</v>
      </c>
      <c r="C42" s="2" t="str">
        <f>VLOOKUP(Table1345676[[#This Row],[ISIN No.]],'[1]Crisil data '!E:F,2,0)</f>
        <v>6.63% MAHARASHTRA SDL 14-OCT-2030</v>
      </c>
      <c r="D42" s="2" t="str">
        <f>VLOOKUP(Table1345676[[#This Row],[ISIN No.]],'[1]Crisil data '!E:I,5,0)</f>
        <v>SDL</v>
      </c>
      <c r="E42" s="36">
        <f>SUMIFS('[1]Crisil data '!L:L,'[1]Crisil data '!AI:AI,$D$3,'[1]Crisil data '!E:E,Table1345676[[#This Row],[ISIN No.]])</f>
        <v>199700</v>
      </c>
      <c r="F42" s="2">
        <f>SUMIFS('[1]Crisil data '!M:M,'[1]Crisil data '!AI:AI,$D$3,'[1]Crisil data '!E:E,Table1345676[[#This Row],[ISIN No.]])</f>
        <v>19642252.359999999</v>
      </c>
      <c r="G42" s="38">
        <f>+F42/$F$87</f>
        <v>1.3598642597524016E-2</v>
      </c>
      <c r="H42" s="37">
        <f>IFERROR(VLOOKUP(Table1345676[[#This Row],[ISIN No.]],'[1]Crisil data '!E:AJ,32,0),0)</f>
        <v>0</v>
      </c>
    </row>
    <row r="43" spans="1:8" x14ac:dyDescent="0.25">
      <c r="A43" s="8"/>
      <c r="B43" s="2" t="s">
        <v>67</v>
      </c>
      <c r="C43" s="2" t="str">
        <f>VLOOKUP(Table1345676[[#This Row],[ISIN No.]],'[1]Crisil data '!E:F,2,0)</f>
        <v>8.26% Government of India 02.08.2027</v>
      </c>
      <c r="D43" s="2" t="str">
        <f>VLOOKUP(Table1345676[[#This Row],[ISIN No.]],'[1]Crisil data '!E:I,5,0)</f>
        <v>GOI</v>
      </c>
      <c r="E43" s="36">
        <f>SUMIFS('[1]Crisil data '!L:L,'[1]Crisil data '!AI:AI,$D$3,'[1]Crisil data '!E:E,Table1345676[[#This Row],[ISIN No.]])</f>
        <v>453800</v>
      </c>
      <c r="F43" s="2">
        <f>SUMIFS('[1]Crisil data '!M:M,'[1]Crisil data '!AI:AI,$D$3,'[1]Crisil data '!E:E,Table1345676[[#This Row],[ISIN No.]])</f>
        <v>49760803.68</v>
      </c>
      <c r="G43" s="38">
        <f>+F43/$F$87</f>
        <v>3.4450192992524907E-2</v>
      </c>
      <c r="H43" s="37">
        <f>IFERROR(VLOOKUP(Table1345676[[#This Row],[ISIN No.]],'[1]Crisil data '!E:AJ,32,0),0)</f>
        <v>0</v>
      </c>
    </row>
    <row r="44" spans="1:8" ht="13.5" customHeight="1" x14ac:dyDescent="0.25">
      <c r="A44" s="8"/>
      <c r="B44" s="2" t="s">
        <v>66</v>
      </c>
      <c r="C44" s="2" t="str">
        <f>VLOOKUP(Table1345676[[#This Row],[ISIN No.]],'[1]Crisil data '!E:F,2,0)</f>
        <v>9.50% GUJARAT SDL 11-SEP-2023.</v>
      </c>
      <c r="D44" s="2" t="str">
        <f>VLOOKUP(Table1345676[[#This Row],[ISIN No.]],'[1]Crisil data '!E:I,5,0)</f>
        <v>SDL</v>
      </c>
      <c r="E44" s="36">
        <f>SUMIFS('[1]Crisil data '!L:L,'[1]Crisil data '!AI:AI,$D$3,'[1]Crisil data '!E:E,Table1345676[[#This Row],[ISIN No.]])</f>
        <v>130000</v>
      </c>
      <c r="F44" s="2">
        <f>SUMIFS('[1]Crisil data '!M:M,'[1]Crisil data '!AI:AI,$D$3,'[1]Crisil data '!E:E,Table1345676[[#This Row],[ISIN No.]])</f>
        <v>13910481</v>
      </c>
      <c r="G44" s="38">
        <f>+F44/$F$87</f>
        <v>9.6304464483852343E-3</v>
      </c>
      <c r="H44" s="37">
        <f>IFERROR(VLOOKUP(Table1345676[[#This Row],[ISIN No.]],'[1]Crisil data '!E:AJ,32,0),0)</f>
        <v>0</v>
      </c>
    </row>
    <row r="45" spans="1:8" x14ac:dyDescent="0.25">
      <c r="A45" s="8"/>
      <c r="B45" s="2" t="s">
        <v>65</v>
      </c>
      <c r="C45" s="2" t="str">
        <f>VLOOKUP(Table1345676[[#This Row],[ISIN No.]],'[1]Crisil data '!E:F,2,0)</f>
        <v>7.83% MAHARASHTRA SDL 2030 ( 08-APR-2030 ) 2030</v>
      </c>
      <c r="D45" s="2" t="str">
        <f>VLOOKUP(Table1345676[[#This Row],[ISIN No.]],'[1]Crisil data '!E:I,5,0)</f>
        <v>SDL</v>
      </c>
      <c r="E45" s="36">
        <f>SUMIFS('[1]Crisil data '!L:L,'[1]Crisil data '!AI:AI,$D$3,'[1]Crisil data '!E:E,Table1345676[[#This Row],[ISIN No.]])</f>
        <v>100000</v>
      </c>
      <c r="F45" s="2">
        <f>SUMIFS('[1]Crisil data '!M:M,'[1]Crisil data '!AI:AI,$D$3,'[1]Crisil data '!E:E,Table1345676[[#This Row],[ISIN No.]])</f>
        <v>10576740</v>
      </c>
      <c r="G45" s="38">
        <f>+F45/$F$87</f>
        <v>7.322444721249685E-3</v>
      </c>
      <c r="H45" s="37">
        <f>IFERROR(VLOOKUP(Table1345676[[#This Row],[ISIN No.]],'[1]Crisil data '!E:AJ,32,0),0)</f>
        <v>0</v>
      </c>
    </row>
    <row r="46" spans="1:8" x14ac:dyDescent="0.25">
      <c r="A46" s="8"/>
      <c r="B46" s="2" t="s">
        <v>64</v>
      </c>
      <c r="C46" s="2" t="str">
        <f>VLOOKUP(Table1345676[[#This Row],[ISIN No.]],'[1]Crisil data '!E:F,2,0)</f>
        <v>7.61% GSEC 09.05.2030</v>
      </c>
      <c r="D46" s="2" t="str">
        <f>VLOOKUP(Table1345676[[#This Row],[ISIN No.]],'[1]Crisil data '!E:I,5,0)</f>
        <v>GOI</v>
      </c>
      <c r="E46" s="36">
        <f>SUMIFS('[1]Crisil data '!L:L,'[1]Crisil data '!AI:AI,$D$3,'[1]Crisil data '!E:E,Table1345676[[#This Row],[ISIN No.]])</f>
        <v>1060000</v>
      </c>
      <c r="F46" s="2">
        <f>SUMIFS('[1]Crisil data '!M:M,'[1]Crisil data '!AI:AI,$D$3,'[1]Crisil data '!E:E,Table1345676[[#This Row],[ISIN No.]])</f>
        <v>113760790</v>
      </c>
      <c r="G46" s="38">
        <f>+F46/$F$87</f>
        <v>7.8758397788041862E-2</v>
      </c>
      <c r="H46" s="37">
        <f>IFERROR(VLOOKUP(Table1345676[[#This Row],[ISIN No.]],'[1]Crisil data '!E:AJ,32,0),0)</f>
        <v>0</v>
      </c>
    </row>
    <row r="47" spans="1:8" x14ac:dyDescent="0.25">
      <c r="A47" s="8"/>
      <c r="B47" s="2" t="s">
        <v>63</v>
      </c>
      <c r="C47" s="2" t="str">
        <f>VLOOKUP(Table1345676[[#This Row],[ISIN No.]],'[1]Crisil data '!E:F,2,0)</f>
        <v>8.38% Telangana SDL 2049</v>
      </c>
      <c r="D47" s="2" t="str">
        <f>VLOOKUP(Table1345676[[#This Row],[ISIN No.]],'[1]Crisil data '!E:I,5,0)</f>
        <v>SDL</v>
      </c>
      <c r="E47" s="36">
        <f>SUMIFS('[1]Crisil data '!L:L,'[1]Crisil data '!AI:AI,$D$3,'[1]Crisil data '!E:E,Table1345676[[#This Row],[ISIN No.]])</f>
        <v>60000</v>
      </c>
      <c r="F47" s="2">
        <f>SUMIFS('[1]Crisil data '!M:M,'[1]Crisil data '!AI:AI,$D$3,'[1]Crisil data '!E:E,Table1345676[[#This Row],[ISIN No.]])</f>
        <v>6830730</v>
      </c>
      <c r="G47" s="38">
        <f>+F47/$F$87</f>
        <v>4.7290226318111115E-3</v>
      </c>
      <c r="H47" s="37">
        <f>IFERROR(VLOOKUP(Table1345676[[#This Row],[ISIN No.]],'[1]Crisil data '!E:AJ,32,0),0)</f>
        <v>0</v>
      </c>
    </row>
    <row r="48" spans="1:8" x14ac:dyDescent="0.25">
      <c r="A48" s="8"/>
      <c r="B48" s="2" t="s">
        <v>62</v>
      </c>
      <c r="C48" s="2" t="str">
        <f>VLOOKUP(Table1345676[[#This Row],[ISIN No.]],'[1]Crisil data '!E:F,2,0)</f>
        <v>7.23% Karnataka SDL06-Nov-2028</v>
      </c>
      <c r="D48" s="2" t="str">
        <f>VLOOKUP(Table1345676[[#This Row],[ISIN No.]],'[1]Crisil data '!E:I,5,0)</f>
        <v>SDL</v>
      </c>
      <c r="E48" s="36">
        <f>SUMIFS('[1]Crisil data '!L:L,'[1]Crisil data '!AI:AI,$D$3,'[1]Crisil data '!E:E,Table1345676[[#This Row],[ISIN No.]])</f>
        <v>120000</v>
      </c>
      <c r="F48" s="2">
        <f>SUMIFS('[1]Crisil data '!M:M,'[1]Crisil data '!AI:AI,$D$3,'[1]Crisil data '!E:E,Table1345676[[#This Row],[ISIN No.]])</f>
        <v>12356208</v>
      </c>
      <c r="G48" s="38">
        <f>+F48/$F$87</f>
        <v>8.5543986185027832E-3</v>
      </c>
      <c r="H48" s="37">
        <f>IFERROR(VLOOKUP(Table1345676[[#This Row],[ISIN No.]],'[1]Crisil data '!E:AJ,32,0),0)</f>
        <v>0</v>
      </c>
    </row>
    <row r="49" spans="1:15" x14ac:dyDescent="0.25">
      <c r="A49" s="8"/>
      <c r="B49" s="2" t="s">
        <v>61</v>
      </c>
      <c r="C49" s="2" t="str">
        <f>VLOOKUP(Table1345676[[#This Row],[ISIN No.]],'[1]Crisil data '!E:F,2,0)</f>
        <v>8.28% GOI 21.09.2027</v>
      </c>
      <c r="D49" s="2" t="str">
        <f>VLOOKUP(Table1345676[[#This Row],[ISIN No.]],'[1]Crisil data '!E:I,5,0)</f>
        <v>GOI</v>
      </c>
      <c r="E49" s="36">
        <f>SUMIFS('[1]Crisil data '!L:L,'[1]Crisil data '!AI:AI,$D$3,'[1]Crisil data '!E:E,Table1345676[[#This Row],[ISIN No.]])</f>
        <v>300000</v>
      </c>
      <c r="F49" s="2">
        <f>SUMIFS('[1]Crisil data '!M:M,'[1]Crisil data '!AI:AI,$D$3,'[1]Crisil data '!E:E,Table1345676[[#This Row],[ISIN No.]])</f>
        <v>33021000</v>
      </c>
      <c r="G49" s="38">
        <f>+F49/$F$87</f>
        <v>2.2860961613917506E-2</v>
      </c>
      <c r="H49" s="37">
        <f>IFERROR(VLOOKUP(Table1345676[[#This Row],[ISIN No.]],'[1]Crisil data '!E:AJ,32,0),0)</f>
        <v>0</v>
      </c>
    </row>
    <row r="50" spans="1:15" x14ac:dyDescent="0.25">
      <c r="A50" s="8"/>
      <c r="B50" s="2" t="s">
        <v>60</v>
      </c>
      <c r="C50" s="2" t="str">
        <f>VLOOKUP(Table1345676[[#This Row],[ISIN No.]],'[1]Crisil data '!E:F,2,0)</f>
        <v>6.30% GOI 09.04.2023</v>
      </c>
      <c r="D50" s="2" t="str">
        <f>VLOOKUP(Table1345676[[#This Row],[ISIN No.]],'[1]Crisil data '!E:I,5,0)</f>
        <v>GOI</v>
      </c>
      <c r="E50" s="36">
        <f>SUMIFS('[1]Crisil data '!L:L,'[1]Crisil data '!AI:AI,$D$3,'[1]Crisil data '!E:E,Table1345676[[#This Row],[ISIN No.]])</f>
        <v>34400</v>
      </c>
      <c r="F50" s="2">
        <f>SUMIFS('[1]Crisil data '!M:M,'[1]Crisil data '!AI:AI,$D$3,'[1]Crisil data '!E:E,Table1345676[[#This Row],[ISIN No.]])</f>
        <v>3510833.04</v>
      </c>
      <c r="G50" s="38">
        <f>+F50/$F$87</f>
        <v>2.4306053529666968E-3</v>
      </c>
      <c r="H50" s="37">
        <f>IFERROR(VLOOKUP(Table1345676[[#This Row],[ISIN No.]],'[1]Crisil data '!E:AJ,32,0),0)</f>
        <v>0</v>
      </c>
    </row>
    <row r="51" spans="1:15" x14ac:dyDescent="0.25">
      <c r="A51" s="8"/>
      <c r="B51" s="2" t="s">
        <v>59</v>
      </c>
      <c r="C51" s="2" t="str">
        <f>VLOOKUP(Table1345676[[#This Row],[ISIN No.]],'[1]Crisil data '!E:F,2,0)</f>
        <v>8.39% ANDHRA PRADESH SDL 06.02.2031</v>
      </c>
      <c r="D51" s="2" t="str">
        <f>VLOOKUP(Table1345676[[#This Row],[ISIN No.]],'[1]Crisil data '!E:I,5,0)</f>
        <v>SDL</v>
      </c>
      <c r="E51" s="36">
        <f>SUMIFS('[1]Crisil data '!L:L,'[1]Crisil data '!AI:AI,$D$3,'[1]Crisil data '!E:E,Table1345676[[#This Row],[ISIN No.]])</f>
        <v>55000</v>
      </c>
      <c r="F51" s="2">
        <f>SUMIFS('[1]Crisil data '!M:M,'[1]Crisil data '!AI:AI,$D$3,'[1]Crisil data '!E:E,Table1345676[[#This Row],[ISIN No.]])</f>
        <v>5984132</v>
      </c>
      <c r="G51" s="38">
        <f>+F51/$F$87</f>
        <v>4.1429094196001144E-3</v>
      </c>
      <c r="H51" s="37">
        <f>IFERROR(VLOOKUP(Table1345676[[#This Row],[ISIN No.]],'[1]Crisil data '!E:AJ,32,0),0)</f>
        <v>0</v>
      </c>
    </row>
    <row r="52" spans="1:15" x14ac:dyDescent="0.25">
      <c r="A52" s="8"/>
      <c r="B52" s="2" t="s">
        <v>58</v>
      </c>
      <c r="C52" s="2" t="str">
        <f>VLOOKUP(Table1345676[[#This Row],[ISIN No.]],'[1]Crisil data '!E:F,2,0)</f>
        <v>07.75% GUJRAT SDL 10-JAN-2028</v>
      </c>
      <c r="D52" s="2" t="str">
        <f>VLOOKUP(Table1345676[[#This Row],[ISIN No.]],'[1]Crisil data '!E:I,5,0)</f>
        <v>SDL</v>
      </c>
      <c r="E52" s="36">
        <f>SUMIFS('[1]Crisil data '!L:L,'[1]Crisil data '!AI:AI,$D$3,'[1]Crisil data '!E:E,Table1345676[[#This Row],[ISIN No.]])</f>
        <v>17500</v>
      </c>
      <c r="F52" s="2">
        <f>SUMIFS('[1]Crisil data '!M:M,'[1]Crisil data '!AI:AI,$D$3,'[1]Crisil data '!E:E,Table1345676[[#This Row],[ISIN No.]])</f>
        <v>1845067</v>
      </c>
      <c r="G52" s="38">
        <f>+F52/$F$87</f>
        <v>1.277369124560308E-3</v>
      </c>
      <c r="H52" s="37">
        <f>IFERROR(VLOOKUP(Table1345676[[#This Row],[ISIN No.]],'[1]Crisil data '!E:AJ,32,0),0)</f>
        <v>0</v>
      </c>
    </row>
    <row r="53" spans="1:15" x14ac:dyDescent="0.25">
      <c r="A53" s="8"/>
      <c r="B53" s="2" t="s">
        <v>57</v>
      </c>
      <c r="C53" s="2" t="str">
        <f>VLOOKUP(Table1345676[[#This Row],[ISIN No.]],'[1]Crisil data '!E:F,2,0)</f>
        <v>8.22 % KARNATAK 30.01.2031</v>
      </c>
      <c r="D53" s="2" t="str">
        <f>VLOOKUP(Table1345676[[#This Row],[ISIN No.]],'[1]Crisil data '!E:I,5,0)</f>
        <v>SDL</v>
      </c>
      <c r="E53" s="36">
        <f>SUMIFS('[1]Crisil data '!L:L,'[1]Crisil data '!AI:AI,$D$3,'[1]Crisil data '!E:E,Table1345676[[#This Row],[ISIN No.]])</f>
        <v>90000</v>
      </c>
      <c r="F53" s="2">
        <f>SUMIFS('[1]Crisil data '!M:M,'[1]Crisil data '!AI:AI,$D$3,'[1]Crisil data '!E:E,Table1345676[[#This Row],[ISIN No.]])</f>
        <v>9702585</v>
      </c>
      <c r="G53" s="38">
        <f>+F53/$F$87</f>
        <v>6.7172533612177635E-3</v>
      </c>
      <c r="H53" s="37">
        <f>IFERROR(VLOOKUP(Table1345676[[#This Row],[ISIN No.]],'[1]Crisil data '!E:AJ,32,0),0)</f>
        <v>0</v>
      </c>
      <c r="L53" s="2"/>
      <c r="M53" s="2"/>
      <c r="N53" s="2"/>
      <c r="O53" s="2"/>
    </row>
    <row r="54" spans="1:15" x14ac:dyDescent="0.25">
      <c r="A54" s="8"/>
      <c r="B54" s="2" t="s">
        <v>56</v>
      </c>
      <c r="C54" s="2" t="str">
        <f>VLOOKUP(Table1345676[[#This Row],[ISIN No.]],'[1]Crisil data '!E:F,2,0)</f>
        <v>8.15% GSEC 24.11.2026</v>
      </c>
      <c r="D54" s="2" t="str">
        <f>VLOOKUP(Table1345676[[#This Row],[ISIN No.]],'[1]Crisil data '!E:I,5,0)</f>
        <v>GOI</v>
      </c>
      <c r="E54" s="36">
        <f>SUMIFS('[1]Crisil data '!L:L,'[1]Crisil data '!AI:AI,$D$3,'[1]Crisil data '!E:E,Table1345676[[#This Row],[ISIN No.]])</f>
        <v>15000</v>
      </c>
      <c r="F54" s="2">
        <f>SUMIFS('[1]Crisil data '!M:M,'[1]Crisil data '!AI:AI,$D$3,'[1]Crisil data '!E:E,Table1345676[[#This Row],[ISIN No.]])</f>
        <v>1635747</v>
      </c>
      <c r="G54" s="38">
        <f>+F54/$F$87</f>
        <v>1.1324535712752709E-3</v>
      </c>
      <c r="H54" s="37">
        <f>IFERROR(VLOOKUP(Table1345676[[#This Row],[ISIN No.]],'[1]Crisil data '!E:AJ,32,0),0)</f>
        <v>0</v>
      </c>
      <c r="L54" s="2"/>
      <c r="M54" s="2"/>
      <c r="N54" s="2"/>
      <c r="O54" s="2"/>
    </row>
    <row r="55" spans="1:15" x14ac:dyDescent="0.25">
      <c r="A55" s="8"/>
      <c r="B55" s="2" t="s">
        <v>55</v>
      </c>
      <c r="C55" s="2" t="str">
        <f>VLOOKUP(Table1345676[[#This Row],[ISIN No.]],'[1]Crisil data '!E:F,2,0)</f>
        <v>8.28% GOI 15.02.2032</v>
      </c>
      <c r="D55" s="2" t="str">
        <f>VLOOKUP(Table1345676[[#This Row],[ISIN No.]],'[1]Crisil data '!E:I,5,0)</f>
        <v>GOI</v>
      </c>
      <c r="E55" s="36">
        <f>SUMIFS('[1]Crisil data '!L:L,'[1]Crisil data '!AI:AI,$D$3,'[1]Crisil data '!E:E,Table1345676[[#This Row],[ISIN No.]])</f>
        <v>756600</v>
      </c>
      <c r="F55" s="2">
        <f>SUMIFS('[1]Crisil data '!M:M,'[1]Crisil data '!AI:AI,$D$3,'[1]Crisil data '!E:E,Table1345676[[#This Row],[ISIN No.]])</f>
        <v>84650829.120000005</v>
      </c>
      <c r="G55" s="38">
        <f>+F55/$F$87</f>
        <v>5.8605110538705985E-2</v>
      </c>
      <c r="H55" s="37">
        <f>IFERROR(VLOOKUP(Table1345676[[#This Row],[ISIN No.]],'[1]Crisil data '!E:AJ,32,0),0)</f>
        <v>0</v>
      </c>
      <c r="L55" s="2"/>
      <c r="M55" s="2"/>
      <c r="N55" s="2"/>
      <c r="O55" s="2"/>
    </row>
    <row r="56" spans="1:15" x14ac:dyDescent="0.25">
      <c r="A56" s="8"/>
      <c r="B56" s="2" t="s">
        <v>54</v>
      </c>
      <c r="C56" s="2" t="str">
        <f>VLOOKUP(Table1345676[[#This Row],[ISIN No.]],'[1]Crisil data '!E:F,2,0)</f>
        <v>7.59% GOI 20.03.2029</v>
      </c>
      <c r="D56" s="2" t="str">
        <f>VLOOKUP(Table1345676[[#This Row],[ISIN No.]],'[1]Crisil data '!E:I,5,0)</f>
        <v>GOI</v>
      </c>
      <c r="E56" s="36">
        <f>SUMIFS('[1]Crisil data '!L:L,'[1]Crisil data '!AI:AI,$D$3,'[1]Crisil data '!E:E,Table1345676[[#This Row],[ISIN No.]])</f>
        <v>103000</v>
      </c>
      <c r="F56" s="2">
        <f>SUMIFS('[1]Crisil data '!M:M,'[1]Crisil data '!AI:AI,$D$3,'[1]Crisil data '!E:E,Table1345676[[#This Row],[ISIN No.]])</f>
        <v>10969489.699999999</v>
      </c>
      <c r="G56" s="38">
        <f>+F56/$F$87</f>
        <v>7.5943515628225508E-3</v>
      </c>
      <c r="H56" s="37">
        <f>IFERROR(VLOOKUP(Table1345676[[#This Row],[ISIN No.]],'[1]Crisil data '!E:AJ,32,0),0)</f>
        <v>0</v>
      </c>
      <c r="L56" s="2"/>
      <c r="M56" s="2"/>
      <c r="N56" s="2"/>
      <c r="O56" s="2"/>
    </row>
    <row r="57" spans="1:15" x14ac:dyDescent="0.25">
      <c r="A57" s="8"/>
      <c r="B57" s="2" t="s">
        <v>53</v>
      </c>
      <c r="C57" s="2" t="str">
        <f>VLOOKUP(Table1345676[[#This Row],[ISIN No.]],'[1]Crisil data '!E:F,2,0)</f>
        <v>8.26% Gujarat 14march 2028</v>
      </c>
      <c r="D57" s="2" t="str">
        <f>VLOOKUP(Table1345676[[#This Row],[ISIN No.]],'[1]Crisil data '!E:I,5,0)</f>
        <v>SDL</v>
      </c>
      <c r="E57" s="36">
        <f>SUMIFS('[1]Crisil data '!L:L,'[1]Crisil data '!AI:AI,$D$3,'[1]Crisil data '!E:E,Table1345676[[#This Row],[ISIN No.]])</f>
        <v>50000</v>
      </c>
      <c r="F57" s="2">
        <f>SUMIFS('[1]Crisil data '!M:M,'[1]Crisil data '!AI:AI,$D$3,'[1]Crisil data '!E:E,Table1345676[[#This Row],[ISIN No.]])</f>
        <v>5400030</v>
      </c>
      <c r="G57" s="38">
        <f>+F57/$F$87</f>
        <v>3.7385263482027481E-3</v>
      </c>
      <c r="H57" s="37">
        <f>IFERROR(VLOOKUP(Table1345676[[#This Row],[ISIN No.]],'[1]Crisil data '!E:AJ,32,0),0)</f>
        <v>0</v>
      </c>
      <c r="L57" s="2"/>
      <c r="M57" s="2"/>
      <c r="N57" s="2"/>
      <c r="O57" s="2"/>
    </row>
    <row r="58" spans="1:15" x14ac:dyDescent="0.25">
      <c r="A58" s="8"/>
      <c r="B58" s="2" t="s">
        <v>52</v>
      </c>
      <c r="C58" s="2" t="str">
        <f>VLOOKUP(Table1345676[[#This Row],[ISIN No.]],'[1]Crisil data '!E:F,2,0)</f>
        <v>SDL TAMIL NADU 8.05% 2028</v>
      </c>
      <c r="D58" s="2" t="str">
        <f>VLOOKUP(Table1345676[[#This Row],[ISIN No.]],'[1]Crisil data '!E:I,5,0)</f>
        <v>SDL</v>
      </c>
      <c r="E58" s="36">
        <f>SUMIFS('[1]Crisil data '!L:L,'[1]Crisil data '!AI:AI,$D$3,'[1]Crisil data '!E:E,Table1345676[[#This Row],[ISIN No.]])</f>
        <v>151000</v>
      </c>
      <c r="F58" s="2">
        <f>SUMIFS('[1]Crisil data '!M:M,'[1]Crisil data '!AI:AI,$D$3,'[1]Crisil data '!E:E,Table1345676[[#This Row],[ISIN No.]])</f>
        <v>16138230.699999999</v>
      </c>
      <c r="G58" s="38">
        <f>+F58/$F$87</f>
        <v>1.1172752870877472E-2</v>
      </c>
      <c r="H58" s="37">
        <f>IFERROR(VLOOKUP(Table1345676[[#This Row],[ISIN No.]],'[1]Crisil data '!E:AJ,32,0),0)</f>
        <v>0</v>
      </c>
      <c r="L58" s="2"/>
      <c r="M58" s="2"/>
      <c r="N58" s="2"/>
      <c r="O58" s="2"/>
    </row>
    <row r="59" spans="1:15" x14ac:dyDescent="0.25">
      <c r="A59" s="8"/>
      <c r="B59" s="2" t="s">
        <v>51</v>
      </c>
      <c r="C59" s="2" t="str">
        <f>VLOOKUP(Table1345676[[#This Row],[ISIN No.]],'[1]Crisil data '!E:F,2,0)</f>
        <v>8.32% Kerala SDL 25-April-2030</v>
      </c>
      <c r="D59" s="2" t="str">
        <f>VLOOKUP(Table1345676[[#This Row],[ISIN No.]],'[1]Crisil data '!E:I,5,0)</f>
        <v>SDL</v>
      </c>
      <c r="E59" s="36">
        <f>SUMIFS('[1]Crisil data '!L:L,'[1]Crisil data '!AI:AI,$D$3,'[1]Crisil data '!E:E,Table1345676[[#This Row],[ISIN No.]])</f>
        <v>130000</v>
      </c>
      <c r="F59" s="2">
        <f>SUMIFS('[1]Crisil data '!M:M,'[1]Crisil data '!AI:AI,$D$3,'[1]Crisil data '!E:E,Table1345676[[#This Row],[ISIN No.]])</f>
        <v>14116583</v>
      </c>
      <c r="G59" s="38">
        <f>+F59/$F$87</f>
        <v>9.7731341292716881E-3</v>
      </c>
      <c r="H59" s="37">
        <f>IFERROR(VLOOKUP(Table1345676[[#This Row],[ISIN No.]],'[1]Crisil data '!E:AJ,32,0),0)</f>
        <v>0</v>
      </c>
      <c r="L59" s="2"/>
      <c r="M59" s="2"/>
      <c r="N59" s="2"/>
      <c r="O59" s="2"/>
    </row>
    <row r="60" spans="1:15" x14ac:dyDescent="0.25">
      <c r="A60" s="8"/>
      <c r="B60" s="2"/>
      <c r="C60" s="2"/>
      <c r="D60" s="2"/>
      <c r="E60" s="36"/>
      <c r="F60" s="2"/>
      <c r="G60" s="32"/>
      <c r="H60" s="31"/>
      <c r="L60" s="2"/>
      <c r="M60" s="2"/>
      <c r="N60" s="2"/>
      <c r="O60" s="2"/>
    </row>
    <row r="61" spans="1:15" hidden="1" outlineLevel="1" x14ac:dyDescent="0.25">
      <c r="A61" s="8"/>
      <c r="B61" s="2"/>
      <c r="C61" s="2"/>
      <c r="D61" s="2"/>
      <c r="E61" s="5"/>
      <c r="F61" s="2">
        <f>SUMIFS('[1]Crisil data '!M:M,'[1]Crisil data '!AI:AI,$D$3,'[1]Crisil data '!E:E,Table1345676[[#This Row],[ISIN No.]])</f>
        <v>0</v>
      </c>
      <c r="G61" s="32">
        <f>+F61/$F$87</f>
        <v>0</v>
      </c>
      <c r="H61" s="31"/>
      <c r="L61" s="2"/>
      <c r="M61" s="2"/>
      <c r="N61" s="2"/>
      <c r="O61" s="2"/>
    </row>
    <row r="62" spans="1:15" hidden="1" outlineLevel="1" x14ac:dyDescent="0.25">
      <c r="A62" s="8"/>
      <c r="B62" s="2"/>
      <c r="C62" s="2"/>
      <c r="D62" s="2"/>
      <c r="E62" s="5"/>
      <c r="F62" s="2">
        <f>SUMIFS('[1]Crisil data '!M:M,'[1]Crisil data '!AI:AI,$D$3,'[1]Crisil data '!E:E,Table1345676[[#This Row],[ISIN No.]])</f>
        <v>0</v>
      </c>
      <c r="G62" s="32">
        <f>+F62/$F$87</f>
        <v>0</v>
      </c>
      <c r="H62" s="31"/>
      <c r="L62" s="2"/>
      <c r="M62" s="2"/>
      <c r="N62" s="2"/>
      <c r="O62" s="2"/>
    </row>
    <row r="63" spans="1:15" hidden="1" outlineLevel="1" x14ac:dyDescent="0.25">
      <c r="A63" s="8"/>
      <c r="B63" s="2"/>
      <c r="C63" s="2"/>
      <c r="D63" s="2"/>
      <c r="E63" s="5"/>
      <c r="F63" s="2">
        <f>SUMIFS('[1]Crisil data '!M:M,'[1]Crisil data '!AI:AI,$D$3,'[1]Crisil data '!E:E,Table1345676[[#This Row],[ISIN No.]])</f>
        <v>0</v>
      </c>
      <c r="G63" s="32">
        <f>+F63/$F$87</f>
        <v>0</v>
      </c>
      <c r="H63" s="31"/>
    </row>
    <row r="64" spans="1:15" hidden="1" outlineLevel="1" x14ac:dyDescent="0.25">
      <c r="A64" s="8"/>
      <c r="B64" s="2"/>
      <c r="C64" s="2"/>
      <c r="D64" s="2"/>
      <c r="E64" s="5"/>
      <c r="F64" s="2">
        <f>SUMIFS('[1]Crisil data '!M:M,'[1]Crisil data '!AI:AI,$D$3,'[1]Crisil data '!E:E,Table1345676[[#This Row],[ISIN No.]])</f>
        <v>0</v>
      </c>
      <c r="G64" s="32">
        <f>+F64/$F$87</f>
        <v>0</v>
      </c>
      <c r="H64" s="31"/>
    </row>
    <row r="65" spans="1:8" hidden="1" outlineLevel="1" x14ac:dyDescent="0.25">
      <c r="A65" s="8"/>
      <c r="B65" s="2"/>
      <c r="C65" s="2"/>
      <c r="D65" s="2"/>
      <c r="E65" s="5"/>
      <c r="F65" s="2">
        <f>SUMIFS('[1]Crisil data '!M:M,'[1]Crisil data '!AI:AI,$D$3,'[1]Crisil data '!E:E,Table1345676[[#This Row],[ISIN No.]])</f>
        <v>0</v>
      </c>
      <c r="G65" s="32">
        <f>+F65/$F$87</f>
        <v>0</v>
      </c>
      <c r="H65" s="31"/>
    </row>
    <row r="66" spans="1:8" hidden="1" outlineLevel="1" x14ac:dyDescent="0.25">
      <c r="A66" s="8"/>
      <c r="B66" s="2"/>
      <c r="C66" s="2"/>
      <c r="D66" s="2"/>
      <c r="E66" s="5"/>
      <c r="F66" s="2">
        <f>SUMIFS('[1]Crisil data '!M:M,'[1]Crisil data '!AI:AI,$D$3,'[1]Crisil data '!E:E,Table1345676[[#This Row],[ISIN No.]])</f>
        <v>0</v>
      </c>
      <c r="G66" s="32">
        <f>+F66/$F$87</f>
        <v>0</v>
      </c>
      <c r="H66" s="31"/>
    </row>
    <row r="67" spans="1:8" hidden="1" outlineLevel="1" x14ac:dyDescent="0.25">
      <c r="A67" s="8"/>
      <c r="B67" s="2"/>
      <c r="C67" s="2"/>
      <c r="D67" s="2"/>
      <c r="E67" s="5"/>
      <c r="F67" s="2">
        <f>SUMIFS('[1]Crisil data '!M:M,'[1]Crisil data '!AI:AI,$D$3,'[1]Crisil data '!E:E,Table1345676[[#This Row],[ISIN No.]])</f>
        <v>0</v>
      </c>
      <c r="G67" s="32">
        <f>+F67/$F$87</f>
        <v>0</v>
      </c>
      <c r="H67" s="31"/>
    </row>
    <row r="68" spans="1:8" hidden="1" outlineLevel="1" x14ac:dyDescent="0.25">
      <c r="A68" s="8"/>
      <c r="B68" s="2"/>
      <c r="C68" s="2"/>
      <c r="D68" s="2"/>
      <c r="E68" s="5"/>
      <c r="F68" s="2">
        <f>SUMIFS('[1]Crisil data '!M:M,'[1]Crisil data '!AI:AI,$D$3,'[1]Crisil data '!E:E,Table1345676[[#This Row],[ISIN No.]])</f>
        <v>0</v>
      </c>
      <c r="G68" s="32">
        <f>+F68/$F$87</f>
        <v>0</v>
      </c>
      <c r="H68" s="31"/>
    </row>
    <row r="69" spans="1:8" hidden="1" outlineLevel="1" x14ac:dyDescent="0.25">
      <c r="A69" s="8"/>
      <c r="B69" s="2"/>
      <c r="C69" s="2"/>
      <c r="D69" s="2"/>
      <c r="E69" s="5"/>
      <c r="F69" s="2">
        <f>SUMIFS('[1]Crisil data '!M:M,'[1]Crisil data '!AI:AI,$D$3,'[1]Crisil data '!E:E,Table1345676[[#This Row],[ISIN No.]])</f>
        <v>0</v>
      </c>
      <c r="G69" s="32">
        <f>+F69/$F$87</f>
        <v>0</v>
      </c>
      <c r="H69" s="31"/>
    </row>
    <row r="70" spans="1:8" hidden="1" outlineLevel="1" x14ac:dyDescent="0.25">
      <c r="A70" s="8"/>
      <c r="B70" s="2"/>
      <c r="C70" s="2"/>
      <c r="D70" s="2"/>
      <c r="E70" s="5"/>
      <c r="F70" s="2">
        <f>SUMIFS('[1]Crisil data '!M:M,'[1]Crisil data '!AI:AI,$D$3,'[1]Crisil data '!E:E,Table1345676[[#This Row],[ISIN No.]])</f>
        <v>0</v>
      </c>
      <c r="G70" s="35">
        <f>+F70/$F$87</f>
        <v>0</v>
      </c>
      <c r="H70" s="34"/>
    </row>
    <row r="71" spans="1:8" hidden="1" outlineLevel="1" x14ac:dyDescent="0.25">
      <c r="A71" s="8"/>
      <c r="B71" s="2"/>
      <c r="C71" s="2"/>
      <c r="D71" s="2"/>
      <c r="E71" s="5"/>
      <c r="F71" s="2">
        <f>SUMIFS('[1]Crisil data '!M:M,'[1]Crisil data '!AI:AI,$D$3,'[1]Crisil data '!E:E,Table1345676[[#This Row],[ISIN No.]])</f>
        <v>0</v>
      </c>
      <c r="G71" s="32">
        <f>+F71/$F$87</f>
        <v>0</v>
      </c>
      <c r="H71" s="31"/>
    </row>
    <row r="72" spans="1:8" hidden="1" outlineLevel="1" x14ac:dyDescent="0.25">
      <c r="A72" s="8"/>
      <c r="B72" s="2"/>
      <c r="C72" s="2"/>
      <c r="D72" s="2"/>
      <c r="E72" s="5"/>
      <c r="F72" s="2">
        <f>SUMIFS('[1]Crisil data '!M:M,'[1]Crisil data '!AI:AI,$D$3,'[1]Crisil data '!E:E,Table1345676[[#This Row],[ISIN No.]])</f>
        <v>0</v>
      </c>
      <c r="G72" s="32">
        <f>+F72/$F$87</f>
        <v>0</v>
      </c>
      <c r="H72" s="31"/>
    </row>
    <row r="73" spans="1:8" hidden="1" outlineLevel="1" x14ac:dyDescent="0.25">
      <c r="A73" s="8"/>
      <c r="B73" s="2"/>
      <c r="C73" s="2"/>
      <c r="D73" s="2"/>
      <c r="E73" s="5"/>
      <c r="F73" s="2">
        <f>SUMIFS('[1]Crisil data '!M:M,'[1]Crisil data '!AI:AI,$D$3,'[1]Crisil data '!E:E,Table1345676[[#This Row],[ISIN No.]])</f>
        <v>0</v>
      </c>
      <c r="G73" s="32">
        <f>+F73/$F$87</f>
        <v>0</v>
      </c>
      <c r="H73" s="31"/>
    </row>
    <row r="74" spans="1:8" hidden="1" outlineLevel="1" x14ac:dyDescent="0.25">
      <c r="A74" s="8"/>
      <c r="B74" s="2"/>
      <c r="C74" s="6"/>
      <c r="D74" s="6"/>
      <c r="E74" s="33"/>
      <c r="F74" s="2">
        <f>SUMIFS('[1]Crisil data '!M:M,'[1]Crisil data '!AI:AI,$D$3,'[1]Crisil data '!E:E,Table1345676[[#This Row],[ISIN No.]])</f>
        <v>0</v>
      </c>
      <c r="G74" s="32">
        <f>+F74/$F$87</f>
        <v>0</v>
      </c>
      <c r="H74" s="31"/>
    </row>
    <row r="75" spans="1:8" collapsed="1" x14ac:dyDescent="0.25">
      <c r="B75" s="6"/>
      <c r="C75" s="6" t="s">
        <v>50</v>
      </c>
      <c r="D75" s="6"/>
      <c r="E75" s="28"/>
      <c r="F75" s="30">
        <f>SUM(F7:F74)</f>
        <v>1340604296.8200002</v>
      </c>
      <c r="G75" s="25">
        <f>+F75/$F$87</f>
        <v>0.92812160046803227</v>
      </c>
      <c r="H75" s="29"/>
    </row>
    <row r="77" spans="1:8" x14ac:dyDescent="0.25">
      <c r="B77" s="7"/>
      <c r="C77" s="7" t="s">
        <v>49</v>
      </c>
      <c r="D77" s="7"/>
      <c r="E77" s="7"/>
      <c r="F77" s="7" t="s">
        <v>25</v>
      </c>
      <c r="G77" s="7" t="s">
        <v>24</v>
      </c>
      <c r="H77" s="7" t="s">
        <v>23</v>
      </c>
    </row>
    <row r="78" spans="1:8" x14ac:dyDescent="0.25">
      <c r="B78" s="24"/>
      <c r="C78" s="6" t="s">
        <v>48</v>
      </c>
      <c r="D78" s="2"/>
      <c r="E78" s="5"/>
      <c r="F78" s="26" t="s">
        <v>41</v>
      </c>
      <c r="G78" s="5">
        <v>0</v>
      </c>
      <c r="H78" s="2"/>
    </row>
    <row r="79" spans="1:8" x14ac:dyDescent="0.25">
      <c r="A79" s="2" t="s">
        <v>47</v>
      </c>
      <c r="B79" s="24" t="s">
        <v>46</v>
      </c>
      <c r="C79" s="6" t="s">
        <v>45</v>
      </c>
      <c r="D79" s="6"/>
      <c r="E79" s="28"/>
      <c r="F79" s="2">
        <f>SUMIFS('[1]Crisil data '!M:M,'[1]Crisil data '!AI:AI,'G-TIER I'!$D$3,'[1]Crisil data '!K:K,A79)</f>
        <v>65096744.969999999</v>
      </c>
      <c r="G79" s="25">
        <f>+F79/$F$87</f>
        <v>4.506750819024704E-2</v>
      </c>
      <c r="H79" s="2"/>
    </row>
    <row r="80" spans="1:8" x14ac:dyDescent="0.25">
      <c r="B80" s="24"/>
      <c r="C80" s="6" t="s">
        <v>44</v>
      </c>
      <c r="D80" s="2"/>
      <c r="E80" s="5"/>
      <c r="F80" s="28" t="s">
        <v>41</v>
      </c>
      <c r="G80" s="5">
        <v>0</v>
      </c>
      <c r="H80" s="2"/>
    </row>
    <row r="81" spans="1:8" x14ac:dyDescent="0.25">
      <c r="B81" s="24"/>
      <c r="C81" s="6" t="s">
        <v>43</v>
      </c>
      <c r="D81" s="2"/>
      <c r="E81" s="5"/>
      <c r="F81" s="28" t="s">
        <v>41</v>
      </c>
      <c r="G81" s="5">
        <v>0</v>
      </c>
      <c r="H81" s="2"/>
    </row>
    <row r="82" spans="1:8" x14ac:dyDescent="0.25">
      <c r="B82" s="24"/>
      <c r="C82" s="6" t="s">
        <v>42</v>
      </c>
      <c r="D82" s="2"/>
      <c r="E82" s="5"/>
      <c r="F82" s="28" t="s">
        <v>41</v>
      </c>
      <c r="G82" s="5">
        <v>0</v>
      </c>
      <c r="H82" s="2"/>
    </row>
    <row r="83" spans="1:8" x14ac:dyDescent="0.25">
      <c r="A83" s="27" t="s">
        <v>40</v>
      </c>
      <c r="B83" s="2" t="s">
        <v>40</v>
      </c>
      <c r="C83" s="2" t="s">
        <v>39</v>
      </c>
      <c r="D83" s="2"/>
      <c r="E83" s="5"/>
      <c r="F83" s="2">
        <f>SUMIFS('[1]Crisil data '!M:M,'[1]Crisil data '!AI:AI,'G-TIER I'!$D$3,'[1]Crisil data '!K:K,A83)</f>
        <v>38726386.840000004</v>
      </c>
      <c r="G83" s="25">
        <f>+F83/$F$87</f>
        <v>2.6810891341720728E-2</v>
      </c>
      <c r="H83" s="2"/>
    </row>
    <row r="84" spans="1:8" x14ac:dyDescent="0.25">
      <c r="B84" s="24"/>
      <c r="C84" s="2"/>
      <c r="D84" s="2"/>
      <c r="E84" s="5"/>
      <c r="F84" s="26"/>
      <c r="G84" s="25"/>
      <c r="H84" s="2"/>
    </row>
    <row r="85" spans="1:8" x14ac:dyDescent="0.25">
      <c r="B85" s="24"/>
      <c r="C85" s="2" t="s">
        <v>38</v>
      </c>
      <c r="D85" s="2"/>
      <c r="E85" s="5"/>
      <c r="F85" s="23">
        <f>SUM(F78:F84)</f>
        <v>103823131.81</v>
      </c>
      <c r="G85" s="25">
        <f>+F85/$F$87</f>
        <v>7.1878399531967771E-2</v>
      </c>
      <c r="H85" s="2"/>
    </row>
    <row r="86" spans="1:8" x14ac:dyDescent="0.25">
      <c r="B86" s="24"/>
      <c r="C86" s="2"/>
      <c r="D86" s="2"/>
      <c r="E86" s="5"/>
      <c r="F86" s="23"/>
      <c r="G86" s="22"/>
      <c r="H86" s="2"/>
    </row>
    <row r="87" spans="1:8" x14ac:dyDescent="0.25">
      <c r="B87" s="21"/>
      <c r="C87" s="20" t="s">
        <v>37</v>
      </c>
      <c r="D87" s="19"/>
      <c r="E87" s="18"/>
      <c r="F87" s="17">
        <f>+F85+F75</f>
        <v>1444427428.6300001</v>
      </c>
      <c r="G87" s="16">
        <v>1</v>
      </c>
      <c r="H87" s="2"/>
    </row>
    <row r="89" spans="1:8" x14ac:dyDescent="0.25">
      <c r="C89" s="6" t="s">
        <v>36</v>
      </c>
      <c r="D89" s="12">
        <v>10.913218138948237</v>
      </c>
      <c r="F89" s="1"/>
    </row>
    <row r="90" spans="1:8" x14ac:dyDescent="0.25">
      <c r="C90" s="6" t="s">
        <v>35</v>
      </c>
      <c r="D90" s="12">
        <v>6.9852416139705467</v>
      </c>
    </row>
    <row r="91" spans="1:8" x14ac:dyDescent="0.25">
      <c r="C91" s="6" t="s">
        <v>34</v>
      </c>
      <c r="D91" s="12">
        <v>6.7295716641855075</v>
      </c>
    </row>
    <row r="92" spans="1:8" x14ac:dyDescent="0.25">
      <c r="C92" s="6" t="s">
        <v>33</v>
      </c>
      <c r="D92" s="15">
        <v>14.680400000000001</v>
      </c>
    </row>
    <row r="93" spans="1:8" x14ac:dyDescent="0.25">
      <c r="C93" s="6" t="s">
        <v>32</v>
      </c>
      <c r="D93" s="15">
        <v>14.713900000000001</v>
      </c>
    </row>
    <row r="94" spans="1:8" x14ac:dyDescent="0.25">
      <c r="A94" s="14" t="s">
        <v>31</v>
      </c>
      <c r="C94" s="6" t="s">
        <v>30</v>
      </c>
      <c r="D94" s="13">
        <v>0.33546120000000001</v>
      </c>
    </row>
    <row r="95" spans="1:8" x14ac:dyDescent="0.25">
      <c r="C95" s="6" t="s">
        <v>29</v>
      </c>
      <c r="D95" s="12">
        <v>0</v>
      </c>
    </row>
    <row r="96" spans="1:8" x14ac:dyDescent="0.25">
      <c r="C96" s="6" t="s">
        <v>28</v>
      </c>
      <c r="D96" s="12">
        <v>0</v>
      </c>
      <c r="F96" s="11"/>
      <c r="G96" s="10"/>
    </row>
    <row r="97" spans="1:8" x14ac:dyDescent="0.25">
      <c r="B97" s="9"/>
      <c r="C97" s="8"/>
    </row>
    <row r="98" spans="1:8" x14ac:dyDescent="0.25">
      <c r="F98" s="1">
        <f>+F75-SUM(F101:F106)</f>
        <v>0</v>
      </c>
    </row>
    <row r="99" spans="1:8" x14ac:dyDescent="0.25">
      <c r="C99" s="7" t="s">
        <v>27</v>
      </c>
      <c r="D99" s="7"/>
      <c r="E99" s="7"/>
      <c r="F99" s="7"/>
      <c r="G99" s="7"/>
      <c r="H99" s="7"/>
    </row>
    <row r="100" spans="1:8" x14ac:dyDescent="0.25">
      <c r="C100" s="7" t="s">
        <v>26</v>
      </c>
      <c r="D100" s="7"/>
      <c r="E100" s="7"/>
      <c r="F100" s="7" t="s">
        <v>25</v>
      </c>
      <c r="G100" s="7" t="s">
        <v>24</v>
      </c>
      <c r="H100" s="7" t="s">
        <v>23</v>
      </c>
    </row>
    <row r="101" spans="1:8" x14ac:dyDescent="0.25">
      <c r="A101" t="s">
        <v>22</v>
      </c>
      <c r="C101" s="6" t="s">
        <v>21</v>
      </c>
      <c r="D101" s="2"/>
      <c r="E101" s="5"/>
      <c r="F101" s="4">
        <f>SUMIF(Table1345676[[Industry ]],A101,Table1345676[Market Value])</f>
        <v>1127098808.6300001</v>
      </c>
      <c r="G101" s="3">
        <f>+F101/$F$87</f>
        <v>0.78030836737780762</v>
      </c>
      <c r="H101" s="2"/>
    </row>
    <row r="102" spans="1:8" x14ac:dyDescent="0.25">
      <c r="A102" s="2" t="s">
        <v>20</v>
      </c>
      <c r="C102" s="2" t="s">
        <v>19</v>
      </c>
      <c r="D102" s="2"/>
      <c r="E102" s="5"/>
      <c r="F102" s="4">
        <f>SUMIF(Table1345676[[Industry ]],A102,Table1345676[Market Value])</f>
        <v>210150876.19</v>
      </c>
      <c r="G102" s="3">
        <f>+F102/$F$87</f>
        <v>0.14549078203902729</v>
      </c>
      <c r="H102" s="2"/>
    </row>
    <row r="103" spans="1:8" x14ac:dyDescent="0.25">
      <c r="C103" s="2" t="s">
        <v>2</v>
      </c>
      <c r="D103" s="2"/>
      <c r="E103" s="5"/>
      <c r="F103" s="4">
        <f>SUMIF($E$115:$E$122,C103,H115:H122)</f>
        <v>3354612</v>
      </c>
      <c r="G103" s="3">
        <f>+F103/$F$87</f>
        <v>2.3224510511973299E-3</v>
      </c>
      <c r="H103" s="2"/>
    </row>
    <row r="104" spans="1:8" x14ac:dyDescent="0.25">
      <c r="C104" s="2" t="s">
        <v>18</v>
      </c>
      <c r="D104" s="2"/>
      <c r="E104" s="5"/>
      <c r="F104" s="4">
        <f>SUMIF($E$115:$E$122,C104,H116:H123)</f>
        <v>0</v>
      </c>
      <c r="G104" s="3">
        <f>+F104/$F$87</f>
        <v>0</v>
      </c>
      <c r="H104" s="2"/>
    </row>
    <row r="105" spans="1:8" x14ac:dyDescent="0.25">
      <c r="C105" s="2" t="s">
        <v>8</v>
      </c>
      <c r="D105" s="2"/>
      <c r="E105" s="5"/>
      <c r="F105" s="4">
        <f>SUMIF($E$115:$E$122,C105,H117:H124)</f>
        <v>0</v>
      </c>
      <c r="G105" s="3">
        <f>+F105/$F$87</f>
        <v>0</v>
      </c>
      <c r="H105" s="2"/>
    </row>
    <row r="106" spans="1:8" x14ac:dyDescent="0.25">
      <c r="C106" s="2" t="s">
        <v>4</v>
      </c>
      <c r="D106" s="2"/>
      <c r="E106" s="5"/>
      <c r="F106" s="4">
        <f>SUMIF($E$115:$E$122,C106,H118:H125)</f>
        <v>0</v>
      </c>
      <c r="G106" s="3">
        <f>+F106/$F$87</f>
        <v>0</v>
      </c>
      <c r="H106" s="2"/>
    </row>
    <row r="107" spans="1:8" x14ac:dyDescent="0.25">
      <c r="C107" s="2" t="s">
        <v>17</v>
      </c>
      <c r="D107" s="2"/>
      <c r="E107" s="5"/>
      <c r="F107" s="4">
        <f>SUMIF($E$115:$E$122,C107,H119:H126)</f>
        <v>0</v>
      </c>
      <c r="G107" s="3">
        <f>+F107/$F$87</f>
        <v>0</v>
      </c>
      <c r="H107" s="2"/>
    </row>
    <row r="108" spans="1:8" x14ac:dyDescent="0.25">
      <c r="C108" s="2" t="s">
        <v>16</v>
      </c>
      <c r="D108" s="2"/>
      <c r="E108" s="5"/>
      <c r="F108" s="4">
        <f>SUMIF($E$115:$E$122,C108,H120:H127)</f>
        <v>0</v>
      </c>
      <c r="G108" s="3">
        <f>+F108/$F$87</f>
        <v>0</v>
      </c>
      <c r="H108" s="2"/>
    </row>
    <row r="109" spans="1:8" x14ac:dyDescent="0.25">
      <c r="C109" s="2" t="s">
        <v>15</v>
      </c>
      <c r="D109" s="2"/>
      <c r="E109" s="5"/>
      <c r="F109" s="4">
        <f>SUMIF($E$115:$E$122,C109,H121:H128)</f>
        <v>0</v>
      </c>
      <c r="G109" s="3">
        <f>+F109/$F$87</f>
        <v>0</v>
      </c>
      <c r="H109" s="2"/>
    </row>
    <row r="110" spans="1:8" x14ac:dyDescent="0.25">
      <c r="C110" s="2" t="s">
        <v>14</v>
      </c>
      <c r="D110" s="2"/>
      <c r="E110" s="5"/>
      <c r="F110" s="4">
        <f>SUMIF($E$115:$E$122,C110,H122:H129)</f>
        <v>0</v>
      </c>
      <c r="G110" s="3">
        <f>+F110/$F$87</f>
        <v>0</v>
      </c>
      <c r="H110" s="2"/>
    </row>
    <row r="111" spans="1:8" x14ac:dyDescent="0.25">
      <c r="C111" s="2" t="s">
        <v>13</v>
      </c>
      <c r="D111" s="2"/>
      <c r="E111" s="5"/>
      <c r="F111" s="4">
        <f>SUMIF($E$115:$E$122,C111,H123:H130)</f>
        <v>0</v>
      </c>
      <c r="G111" s="3">
        <f>+F111/$F$87</f>
        <v>0</v>
      </c>
      <c r="H111" s="2"/>
    </row>
    <row r="112" spans="1:8" x14ac:dyDescent="0.25">
      <c r="C112" s="2" t="s">
        <v>12</v>
      </c>
      <c r="D112" s="2"/>
      <c r="E112" s="5"/>
      <c r="F112" s="4">
        <f>SUMIF($E$115:$E$122,C112,H124:H131)</f>
        <v>0</v>
      </c>
      <c r="G112" s="3">
        <f>+F112/$F$87</f>
        <v>0</v>
      </c>
      <c r="H112" s="2"/>
    </row>
    <row r="115" spans="5:8" x14ac:dyDescent="0.25">
      <c r="E115" s="2" t="s">
        <v>2</v>
      </c>
      <c r="F115" s="2" t="s">
        <v>11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2" t="s">
        <v>2</v>
      </c>
      <c r="F116" s="2" t="s">
        <v>10</v>
      </c>
      <c r="G116">
        <f>SUMIF($H$7:$H$59,F116,$E$7:$E$59)</f>
        <v>0</v>
      </c>
      <c r="H116">
        <f>SUMIF($H$7:$H$59,F116,$F$7:$F$59)</f>
        <v>0</v>
      </c>
    </row>
    <row r="117" spans="5:8" x14ac:dyDescent="0.25">
      <c r="E117" s="2" t="s">
        <v>2</v>
      </c>
      <c r="F117" s="2" t="s">
        <v>9</v>
      </c>
      <c r="G117">
        <f>SUMIF($H$7:$H$59,F117,$E$7:$E$59)</f>
        <v>3</v>
      </c>
      <c r="H117">
        <f>SUMIF($H$7:$H$59,F117,$F$7:$F$59)</f>
        <v>3354612</v>
      </c>
    </row>
    <row r="118" spans="5:8" x14ac:dyDescent="0.25">
      <c r="E118" s="2" t="s">
        <v>8</v>
      </c>
      <c r="F118" s="2" t="s">
        <v>7</v>
      </c>
      <c r="G118">
        <f>SUMIF($H$7:$H$59,F118,$E$7:$E$59)</f>
        <v>0</v>
      </c>
      <c r="H118">
        <f>SUMIF($H$7:$H$59,F118,$F$7:$F$59)</f>
        <v>0</v>
      </c>
    </row>
    <row r="119" spans="5:8" x14ac:dyDescent="0.25">
      <c r="E119" s="2" t="s">
        <v>4</v>
      </c>
      <c r="F119" s="2" t="s">
        <v>6</v>
      </c>
      <c r="G119">
        <f>SUMIF($H$7:$H$59,F119,$E$7:$E$59)</f>
        <v>0</v>
      </c>
      <c r="H119">
        <f>SUMIF($H$7:$H$59,F119,$F$7:$F$59)</f>
        <v>0</v>
      </c>
    </row>
    <row r="120" spans="5:8" x14ac:dyDescent="0.25">
      <c r="E120" s="2" t="s">
        <v>2</v>
      </c>
      <c r="F120" s="2" t="s">
        <v>5</v>
      </c>
      <c r="G120">
        <f>SUMIF($H$7:$H$59,F120,$E$7:$E$59)</f>
        <v>0</v>
      </c>
      <c r="H120">
        <f>SUMIF($H$7:$H$59,F120,$F$7:$F$59)</f>
        <v>0</v>
      </c>
    </row>
    <row r="121" spans="5:8" x14ac:dyDescent="0.25">
      <c r="E121" s="2" t="s">
        <v>4</v>
      </c>
      <c r="F121" s="2" t="s">
        <v>3</v>
      </c>
      <c r="G121">
        <f>SUMIF($H$7:$H$59,F121,$E$7:$E$59)</f>
        <v>0</v>
      </c>
      <c r="H121">
        <f>SUMIF($H$7:$H$59,F121,$F$7:$F$59)</f>
        <v>0</v>
      </c>
    </row>
    <row r="122" spans="5:8" x14ac:dyDescent="0.25">
      <c r="E122" s="2" t="s">
        <v>2</v>
      </c>
      <c r="F122" s="2" t="s">
        <v>1</v>
      </c>
      <c r="G122">
        <f>SUMIF($H$7:$H$59,F122,$E$7:$E$59)</f>
        <v>0</v>
      </c>
      <c r="H122">
        <f>SUMIF($H$7:$H$59,F122,$F$7:$F$59)</f>
        <v>0</v>
      </c>
    </row>
    <row r="123" spans="5:8" x14ac:dyDescent="0.25">
      <c r="G123" t="s">
        <v>0</v>
      </c>
      <c r="H123" t="s">
        <v>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2022-01-08T11:12:07Z</dcterms:created>
  <dcterms:modified xsi:type="dcterms:W3CDTF">2022-01-08T11:12:18Z</dcterms:modified>
</cp:coreProperties>
</file>